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2" i="2" l="1"/>
  <c r="E70" i="2"/>
  <c r="B23" i="2" l="1"/>
  <c r="B2" i="2"/>
  <c r="B5" i="2"/>
  <c r="C9" i="2"/>
  <c r="C8" i="2"/>
  <c r="C7" i="2"/>
  <c r="B8" i="2"/>
  <c r="B7" i="2"/>
  <c r="B6" i="2"/>
  <c r="C2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1" i="2"/>
  <c r="E40" i="2"/>
  <c r="E39" i="2"/>
  <c r="E38" i="2"/>
  <c r="E37" i="2"/>
  <c r="E36" i="2"/>
  <c r="E35" i="2"/>
  <c r="E34" i="2"/>
  <c r="E33" i="2"/>
  <c r="E32" i="2"/>
  <c r="E30" i="2"/>
  <c r="E29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87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19" i="2"/>
  <c r="C18" i="2"/>
  <c r="C17" i="2"/>
  <c r="C16" i="2"/>
  <c r="C15" i="2"/>
  <c r="C14" i="2"/>
  <c r="C13" i="2"/>
  <c r="C12" i="2"/>
  <c r="C11" i="2"/>
  <c r="C10" i="2"/>
  <c r="C6" i="2"/>
  <c r="C5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2" i="2"/>
  <c r="B21" i="2"/>
  <c r="B19" i="2"/>
  <c r="B18" i="2"/>
  <c r="B17" i="2"/>
  <c r="B16" i="2"/>
  <c r="B15" i="2"/>
  <c r="B14" i="2"/>
  <c r="B13" i="2"/>
  <c r="B12" i="2"/>
  <c r="B11" i="2"/>
  <c r="B10" i="2"/>
  <c r="B9" i="2"/>
  <c r="C4" i="2"/>
  <c r="C3" i="2"/>
  <c r="B4" i="2"/>
  <c r="B3" i="2"/>
  <c r="D88" i="1" l="1"/>
  <c r="D87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2" i="1"/>
  <c r="Q2" i="1" l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2" i="1"/>
  <c r="H88" i="1" l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2" i="1"/>
</calcChain>
</file>

<file path=xl/sharedStrings.xml><?xml version="1.0" encoding="utf-8"?>
<sst xmlns="http://schemas.openxmlformats.org/spreadsheetml/2006/main" count="628" uniqueCount="101">
  <si>
    <t>Субъекты рф</t>
  </si>
  <si>
    <r>
      <rPr>
        <b/>
        <sz val="11"/>
        <color theme="1"/>
        <rFont val="Calibri"/>
        <family val="2"/>
        <charset val="204"/>
        <scheme val="minor"/>
      </rPr>
      <t>Налог</t>
    </r>
    <r>
      <rPr>
        <sz val="11"/>
        <color theme="1"/>
        <rFont val="Calibri"/>
        <family val="2"/>
        <charset val="204"/>
        <scheme val="minor"/>
      </rPr>
      <t xml:space="preserve"> на доходы иностранных граждан, работающих по найму на основании </t>
    </r>
    <r>
      <rPr>
        <b/>
        <sz val="11"/>
        <color theme="1"/>
        <rFont val="Calibri"/>
        <family val="2"/>
        <charset val="204"/>
        <scheme val="minor"/>
      </rPr>
      <t>патента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</si>
  <si>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Налог на доходы физических лиц</t>
  </si>
  <si>
    <t>Доля от патента в бюджете, в %</t>
  </si>
  <si>
    <t>26 - Белгородская область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</si>
  <si>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</si>
  <si>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</si>
  <si>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</si>
  <si>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</si>
  <si>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36 - Тверская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</si>
  <si>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</si>
  <si>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</si>
  <si>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</si>
  <si>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</si>
  <si>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</si>
  <si>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</si>
  <si>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</si>
  <si>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</si>
  <si>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</si>
  <si>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66 - Тульская область</t>
  </si>
  <si>
    <t>71 - Ярославская область</t>
  </si>
  <si>
    <t>73 - г.Москва</t>
  </si>
  <si>
    <t>96 - г. Байконур</t>
  </si>
  <si>
    <t>06 - Республика Карелия</t>
  </si>
  <si>
    <t>07 -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</si>
  <si>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</si>
  <si>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</si>
  <si>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</si>
  <si>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</si>
  <si>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</si>
  <si>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</si>
  <si>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</si>
  <si>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г.Санкт-Петербург</t>
  </si>
  <si>
    <t>84 - Ненецкий автономный округ</t>
  </si>
  <si>
    <t>05 - Республика Калмыкия</t>
  </si>
  <si>
    <t>18 - Краснодарский край</t>
  </si>
  <si>
    <t>25 - Астраханская область</t>
  </si>
  <si>
    <t>29 - Волгоградская область</t>
  </si>
  <si>
    <t>58 - Ростовская область</t>
  </si>
  <si>
    <t>74 - г.Севастополь</t>
  </si>
  <si>
    <t>75 - Республика Крым</t>
  </si>
  <si>
    <t>76 - Республика Адыгея (Адыгея)</t>
  </si>
  <si>
    <t>03 - Республика Дагестан</t>
  </si>
  <si>
    <t>04 - Кабардино-Балкарская Республика</t>
  </si>
  <si>
    <t>10 - Республика Северная Осетия-Алания</t>
  </si>
  <si>
    <t>14 - Республика Ингушетия</t>
  </si>
  <si>
    <t>21 - Ставропольский край</t>
  </si>
  <si>
    <t>79 - Карачаево-Черкесская Республика</t>
  </si>
  <si>
    <t>94 - Чеченская Республика</t>
  </si>
  <si>
    <t>01 - Республика Башкортостан</t>
  </si>
  <si>
    <t>08 - Республика Марий Эл</t>
  </si>
  <si>
    <t>09 - Республика Мордовия</t>
  </si>
  <si>
    <t>11 - Республика Татарстан (Татарстан)</t>
  </si>
  <si>
    <t>13 - Удмуртская Республика</t>
  </si>
  <si>
    <t>15 - Чувашская Республика-Чувашия</t>
  </si>
  <si>
    <t>32 - Нижегородская область</t>
  </si>
  <si>
    <t>40 - Кировская область</t>
  </si>
  <si>
    <t>42 - Самарская область</t>
  </si>
  <si>
    <t>53 - Оренбургская область</t>
  </si>
  <si>
    <t>55 - Пензенская область</t>
  </si>
  <si>
    <t>56 - Пермский край</t>
  </si>
  <si>
    <t>60 - Саратовская область</t>
  </si>
  <si>
    <t>68 - Ульяновская область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</si>
  <si>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</si>
  <si>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</si>
  <si>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</si>
  <si>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</si>
  <si>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автономный округ - Югра</t>
  </si>
  <si>
    <t>90 - Ямало-Ненецкий автономный округ</t>
  </si>
  <si>
    <t>02 - Республика Бурятия</t>
  </si>
  <si>
    <t>12 - Республика Тыва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</si>
  <si>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</si>
  <si>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</si>
  <si>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</si>
  <si>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</si>
  <si>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</si>
  <si>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</si>
  <si>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</si>
  <si>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77 - Республика Алтай</t>
  </si>
  <si>
    <t>80 - Республика Хакасия</t>
  </si>
  <si>
    <t>91 - Забайкальский край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</si>
  <si>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</si>
  <si>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</si>
  <si>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</si>
  <si>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</si>
  <si>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Камчатский край</t>
  </si>
  <si>
    <t>47 - Магаданская область</t>
  </si>
  <si>
    <t>61 - Сахалинская область</t>
  </si>
  <si>
    <t>78 - Еврейская автономная область</t>
  </si>
  <si>
    <t>88 - Чукотский автономный округ</t>
  </si>
  <si>
    <t>9 - Крымский федеральный округ</t>
  </si>
  <si>
    <r>
      <t xml:space="preserve">06 - </t>
    </r>
    <r>
      <rPr>
        <b/>
        <sz val="10"/>
        <rFont val="Times New Roman"/>
        <family val="1"/>
        <charset val="204"/>
      </rPr>
      <t>Республика Карелия</t>
    </r>
  </si>
  <si>
    <r>
      <t>30 -</t>
    </r>
    <r>
      <rPr>
        <b/>
        <sz val="10"/>
        <rFont val="Times New Roman"/>
        <family val="1"/>
        <charset val="204"/>
      </rPr>
      <t xml:space="preserve"> Вологодская область</t>
    </r>
  </si>
  <si>
    <r>
      <t>84 -</t>
    </r>
    <r>
      <rPr>
        <b/>
        <sz val="10"/>
        <rFont val="Times New Roman"/>
        <family val="1"/>
        <charset val="204"/>
      </rPr>
      <t xml:space="preserve"> Ненецкий автономный округ</t>
    </r>
  </si>
  <si>
    <r>
      <rPr>
        <b/>
        <sz val="11"/>
        <color theme="1"/>
        <rFont val="Calibri"/>
        <family val="2"/>
        <charset val="204"/>
        <scheme val="minor"/>
      </rPr>
      <t>Налог</t>
    </r>
    <r>
      <rPr>
        <sz val="11"/>
        <color theme="1"/>
        <rFont val="Calibri"/>
        <family val="2"/>
        <charset val="204"/>
        <scheme val="minor"/>
      </rPr>
      <t xml:space="preserve"> на доходы иностранных граждан, работающих на основании </t>
    </r>
    <r>
      <rPr>
        <b/>
        <sz val="11"/>
        <color theme="1"/>
        <rFont val="Calibri"/>
        <family val="2"/>
        <charset val="204"/>
        <scheme val="minor"/>
      </rPr>
      <t>патента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</si>
  <si>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68975779,5/1000000</t>
  </si>
  <si>
    <r>
      <rPr>
        <b/>
        <sz val="11"/>
        <color theme="1"/>
        <rFont val="Calibri"/>
        <family val="2"/>
        <charset val="204"/>
        <scheme val="minor"/>
      </rPr>
      <t>2016 г  сумма, полученная с налог</t>
    </r>
    <r>
      <rPr>
        <sz val="11"/>
        <color theme="1"/>
        <rFont val="Calibri"/>
        <family val="2"/>
        <charset val="204"/>
        <scheme val="minor"/>
      </rPr>
      <t xml:space="preserve"> на доходы иностранных граждан, работающих по </t>
    </r>
    <r>
      <rPr>
        <b/>
        <sz val="11"/>
        <color theme="1"/>
        <rFont val="Calibri"/>
        <family val="2"/>
        <charset val="204"/>
        <scheme val="minor"/>
      </rPr>
      <t>патенту, в млн.руб.</t>
    </r>
  </si>
  <si>
    <t>2015 г  сумма, полученная с налог на доходы иностранных граждан, работающих по патенту, в млн.руб.</t>
  </si>
  <si>
    <t>2014 г  сумма, полученная с налог на доходы иностранных граждан, работающих по патенту, в млн.руб.</t>
  </si>
  <si>
    <t>2013 г  сумма, полученная с налог на доходы иностранных граждан, работающих по патенту, в млн.руб.</t>
  </si>
  <si>
    <t>2012 г  сумма, полученная с налог на доходы иностранных граждан, работающих по патенту, в млн.руб.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</si>
</sst>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Bauhaus 93"/>
      <family val="5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quotePrefix="1" applyFont="1" applyFill="1" applyBorder="1" applyAlignment="1">
      <alignment horizontal="center" vertical="top" wrapText="1"/>
    </xf>
    <xf numFmtId="0" fontId="0" fillId="0" borderId="1" xfId="0" quotePrefix="1" applyFill="1" applyBorder="1" applyAlignment="1">
      <alignment wrapText="1"/>
    </xf>
    <xf numFmtId="0" fontId="1" fillId="0" borderId="1" xfId="0" quotePrefix="1" applyFont="1" applyFill="1" applyBorder="1" applyAlignment="1">
      <alignment wrapText="1"/>
    </xf>
    <xf numFmtId="0" fontId="0" fillId="0" borderId="1" xfId="0" applyFill="1" applyBorder="1"/>
    <xf numFmtId="4" fontId="3" fillId="0" borderId="1" xfId="0" applyNumberFormat="1" applyFont="1" applyFill="1" applyBorder="1" applyAlignment="1">
      <alignment vertical="top"/>
    </xf>
    <xf numFmtId="2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0" fillId="0" borderId="0" xfId="0" applyFill="1"/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2" fontId="3" fillId="0" borderId="1" xfId="0" applyNumberFormat="1" applyFont="1" applyBorder="1" applyAlignment="1">
      <alignment vertical="top"/>
    </xf>
    <xf numFmtId="0" fontId="0" fillId="2" borderId="1" xfId="0" applyFill="1" applyBorder="1"/>
    <xf numFmtId="2" fontId="3" fillId="2" borderId="1" xfId="0" applyNumberFormat="1" applyFont="1" applyFill="1" applyBorder="1" applyAlignment="1">
      <alignment vertical="top"/>
    </xf>
    <xf numFmtId="0" fontId="0" fillId="3" borderId="1" xfId="0" applyFill="1" applyBorder="1"/>
    <xf numFmtId="2" fontId="3" fillId="3" borderId="1" xfId="0" applyNumberFormat="1" applyFont="1" applyFill="1" applyBorder="1" applyAlignment="1">
      <alignment vertical="top"/>
    </xf>
    <xf numFmtId="0" fontId="0" fillId="0" borderId="2" xfId="0" applyFill="1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opLeftCell="A84" workbookViewId="0">
      <selection activeCell="A88" sqref="A1:U88"/>
    </sheetView>
  </sheetViews>
  <sheetFormatPr defaultRowHeight="15" x14ac:dyDescent="0.25"/>
  <cols>
    <col min="1" max="1" width="14" style="8" customWidth="1"/>
    <col min="2" max="2" width="18.5703125" style="8" customWidth="1"/>
    <col min="3" max="3" width="14.5703125" style="8" customWidth="1"/>
    <col min="4" max="4" width="16.42578125" style="8" customWidth="1"/>
    <col min="5" max="5" width="21" style="8" customWidth="1"/>
    <col min="6" max="6" width="18.85546875" style="8" customWidth="1"/>
    <col min="7" max="7" width="21.85546875" style="8" customWidth="1"/>
    <col min="8" max="8" width="9.140625" style="8"/>
    <col min="9" max="9" width="18.140625" style="8" customWidth="1"/>
    <col min="10" max="10" width="16.140625" style="8" customWidth="1"/>
    <col min="11" max="11" width="16.5703125" style="8" customWidth="1"/>
    <col min="12" max="12" width="11.7109375" style="8" customWidth="1"/>
    <col min="13" max="13" width="9.140625" style="8"/>
    <col min="14" max="14" width="13.140625" style="8" customWidth="1"/>
    <col min="15" max="15" width="14.7109375" style="8" customWidth="1"/>
    <col min="16" max="16" width="16.7109375" style="8" customWidth="1"/>
    <col min="17" max="17" width="12" style="8" customWidth="1"/>
    <col min="18" max="18" width="12.42578125" style="8" customWidth="1"/>
    <col min="19" max="19" width="14.7109375" style="8" customWidth="1"/>
    <col min="20" max="20" width="16.85546875" style="8" customWidth="1"/>
    <col min="21" max="21" width="16" style="8" customWidth="1"/>
    <col min="22" max="16384" width="9.140625" style="8"/>
  </cols>
  <sheetData>
    <row r="1" spans="1:21" ht="129.75" customHeight="1" x14ac:dyDescent="0.25">
      <c r="A1" s="1" t="s">
        <v>0</v>
      </c>
      <c r="B1" s="2" t="s">
        <v>94</v>
      </c>
      <c r="C1" s="3" t="s">
        <v>2</v>
      </c>
      <c r="D1" s="3" t="s">
        <v>3</v>
      </c>
      <c r="E1" s="1" t="s">
        <v>0</v>
      </c>
      <c r="F1" s="2" t="s">
        <v>1</v>
      </c>
      <c r="G1" s="3" t="s">
        <v>2</v>
      </c>
      <c r="H1" s="3" t="s">
        <v>3</v>
      </c>
      <c r="I1" s="1" t="s">
        <v>0</v>
      </c>
      <c r="J1" s="2" t="s">
        <v>1</v>
      </c>
      <c r="K1" s="3" t="s">
        <v>2</v>
      </c>
      <c r="L1" s="3" t="s">
        <v>3</v>
      </c>
      <c r="M1" s="4"/>
      <c r="N1" s="1" t="s">
        <v>0</v>
      </c>
      <c r="O1" s="2" t="s">
        <v>1</v>
      </c>
      <c r="P1" s="3" t="s">
        <v>2</v>
      </c>
      <c r="Q1" s="3" t="s">
        <v>3</v>
      </c>
      <c r="R1" s="1" t="s">
        <v>0</v>
      </c>
      <c r="S1" s="2" t="s">
        <v>1</v>
      </c>
      <c r="T1" s="3" t="s">
        <v>2</v>
      </c>
      <c r="U1" s="3" t="s">
        <v>3</v>
      </c>
    </row>
    <row r="2" spans="1:21" ht="38.25" x14ac:dyDescent="0.25">
      <c r="A2" s="9" t="s">
        <v>4</v>
      </c>
      <c r="B2" s="10">
        <v>211848660.25</v>
      </c>
      <c r="C2" s="5">
        <v>22159536926.220001</v>
      </c>
      <c r="D2" s="19">
        <f>B2*100/C2</f>
        <v>0.95601573695040831</v>
      </c>
      <c r="E2" s="4" t="s">
        <v>4</v>
      </c>
      <c r="F2" s="6">
        <v>179461601.11000001</v>
      </c>
      <c r="G2" s="5">
        <v>23738626332.07</v>
      </c>
      <c r="H2" s="7">
        <f t="shared" ref="H2:H60" si="0">F2*100/G2</f>
        <v>0.75598983108619922</v>
      </c>
      <c r="I2" s="11" t="s">
        <v>4</v>
      </c>
      <c r="J2" s="5">
        <v>34411683.850000001</v>
      </c>
      <c r="K2" s="5">
        <v>20265613559.98</v>
      </c>
      <c r="L2" s="20">
        <f>J2*100/K2</f>
        <v>0.16980331608590074</v>
      </c>
      <c r="M2" s="4"/>
      <c r="N2" s="11" t="s">
        <v>4</v>
      </c>
      <c r="O2" s="5">
        <v>47322965.270000003</v>
      </c>
      <c r="P2" s="5">
        <v>18272611327.84</v>
      </c>
      <c r="Q2" s="21">
        <f>O2*100/P2</f>
        <v>0.25898304528537264</v>
      </c>
      <c r="R2" s="11" t="s">
        <v>4</v>
      </c>
      <c r="S2" s="5">
        <v>100162201.78</v>
      </c>
      <c r="T2" s="5">
        <v>16727364152.870001</v>
      </c>
      <c r="U2" s="19">
        <f>S2*100/T2</f>
        <v>0.5987924987142379</v>
      </c>
    </row>
    <row r="3" spans="1:21" ht="25.5" x14ac:dyDescent="0.25">
      <c r="A3" s="9" t="s">
        <v>5</v>
      </c>
      <c r="B3" s="10">
        <v>71941373.079999998</v>
      </c>
      <c r="C3" s="5">
        <v>12383590503.879999</v>
      </c>
      <c r="D3" s="19">
        <f t="shared" ref="D3:D36" si="1">B3*100/C3</f>
        <v>0.58094114996340918</v>
      </c>
      <c r="E3" s="4" t="s">
        <v>5</v>
      </c>
      <c r="F3" s="6">
        <v>63440980.979999997</v>
      </c>
      <c r="G3" s="5">
        <v>11518219674.35</v>
      </c>
      <c r="H3" s="7">
        <f t="shared" si="0"/>
        <v>0.55078807987381195</v>
      </c>
      <c r="I3" s="11" t="s">
        <v>5</v>
      </c>
      <c r="J3" s="5">
        <v>27887636.18</v>
      </c>
      <c r="K3" s="5">
        <v>11228375139.790001</v>
      </c>
      <c r="L3" s="20">
        <f t="shared" ref="L3:L61" si="2">J3*100/K3</f>
        <v>0.24836751384601111</v>
      </c>
      <c r="M3" s="4"/>
      <c r="N3" s="11" t="s">
        <v>5</v>
      </c>
      <c r="O3" s="5">
        <v>31636907.350000001</v>
      </c>
      <c r="P3" s="5">
        <v>10638197573.299999</v>
      </c>
      <c r="Q3" s="21">
        <f t="shared" ref="Q3:Q60" si="3">O3*100/P3</f>
        <v>0.29738973291305532</v>
      </c>
      <c r="R3" s="11" t="s">
        <v>5</v>
      </c>
      <c r="S3" s="5">
        <v>96535991.239999995</v>
      </c>
      <c r="T3" s="5">
        <v>9442440396.7800007</v>
      </c>
      <c r="U3" s="19">
        <f t="shared" ref="U3:U61" si="4">S3*100/T3</f>
        <v>1.0223627281027907</v>
      </c>
    </row>
    <row r="4" spans="1:21" ht="38.25" x14ac:dyDescent="0.25">
      <c r="A4" s="9" t="s">
        <v>6</v>
      </c>
      <c r="B4" s="10">
        <v>268330072.66999999</v>
      </c>
      <c r="C4" s="5">
        <v>18608267633.209999</v>
      </c>
      <c r="D4" s="19">
        <f t="shared" si="1"/>
        <v>1.4419938382179858</v>
      </c>
      <c r="E4" s="4" t="s">
        <v>6</v>
      </c>
      <c r="F4" s="6">
        <v>235623006.75999999</v>
      </c>
      <c r="G4" s="5">
        <v>17170215240.49</v>
      </c>
      <c r="H4" s="7">
        <f t="shared" si="0"/>
        <v>1.3722775367682336</v>
      </c>
      <c r="I4" s="11" t="s">
        <v>6</v>
      </c>
      <c r="J4" s="5">
        <v>83907233.290000007</v>
      </c>
      <c r="K4" s="5">
        <v>16450166849.01</v>
      </c>
      <c r="L4" s="20">
        <f t="shared" si="2"/>
        <v>0.51006919297629916</v>
      </c>
      <c r="M4" s="4"/>
      <c r="N4" s="11" t="s">
        <v>6</v>
      </c>
      <c r="O4" s="5">
        <v>101027505.25</v>
      </c>
      <c r="P4" s="5">
        <v>15484912856.219999</v>
      </c>
      <c r="Q4" s="21">
        <f t="shared" si="3"/>
        <v>0.652425403927405</v>
      </c>
      <c r="R4" s="11" t="s">
        <v>6</v>
      </c>
      <c r="S4" s="5">
        <v>139697952.06</v>
      </c>
      <c r="T4" s="5">
        <v>14193929654.24</v>
      </c>
      <c r="U4" s="19">
        <f t="shared" si="4"/>
        <v>0.984209133502853</v>
      </c>
    </row>
    <row r="5" spans="1:21" ht="38.25" x14ac:dyDescent="0.25">
      <c r="A5" s="9" t="s">
        <v>7</v>
      </c>
      <c r="B5" s="10">
        <v>317215141.13</v>
      </c>
      <c r="C5" s="5">
        <v>29188722804.849998</v>
      </c>
      <c r="D5" s="19">
        <f t="shared" si="1"/>
        <v>1.0867729405319904</v>
      </c>
      <c r="E5" s="4" t="s">
        <v>7</v>
      </c>
      <c r="F5" s="6">
        <v>291996999.39999998</v>
      </c>
      <c r="G5" s="5">
        <v>27472586337.200001</v>
      </c>
      <c r="H5" s="7">
        <f t="shared" si="0"/>
        <v>1.062866800438856</v>
      </c>
      <c r="I5" s="11" t="s">
        <v>7</v>
      </c>
      <c r="J5" s="5">
        <v>68649136.810000002</v>
      </c>
      <c r="K5" s="5">
        <v>27087274242.220001</v>
      </c>
      <c r="L5" s="20">
        <f t="shared" si="2"/>
        <v>0.25343685819446149</v>
      </c>
      <c r="M5" s="4"/>
      <c r="N5" s="11" t="s">
        <v>7</v>
      </c>
      <c r="O5" s="5">
        <v>75062488.400000006</v>
      </c>
      <c r="P5" s="5">
        <v>24894925017.630001</v>
      </c>
      <c r="Q5" s="21">
        <f t="shared" si="3"/>
        <v>0.30151723030634764</v>
      </c>
      <c r="R5" s="11" t="s">
        <v>7</v>
      </c>
      <c r="S5" s="5">
        <v>156395268.94</v>
      </c>
      <c r="T5" s="5">
        <v>22333367466.919998</v>
      </c>
      <c r="U5" s="19">
        <f t="shared" si="4"/>
        <v>0.7002762533310366</v>
      </c>
    </row>
    <row r="6" spans="1:21" ht="38.25" x14ac:dyDescent="0.25">
      <c r="A6" s="9" t="s">
        <v>8</v>
      </c>
      <c r="B6" s="10">
        <v>66284873.609999999</v>
      </c>
      <c r="C6" s="5">
        <v>9448124537.3299999</v>
      </c>
      <c r="D6" s="19">
        <f t="shared" si="1"/>
        <v>0.70156646801283407</v>
      </c>
      <c r="E6" s="4" t="s">
        <v>8</v>
      </c>
      <c r="F6" s="6">
        <v>38410105.609999999</v>
      </c>
      <c r="G6" s="5">
        <v>9413303053.5</v>
      </c>
      <c r="H6" s="7">
        <f t="shared" si="0"/>
        <v>0.40804067808821448</v>
      </c>
      <c r="I6" s="11" t="s">
        <v>8</v>
      </c>
      <c r="J6" s="5">
        <v>20011327.32</v>
      </c>
      <c r="K6" s="5">
        <v>9211844588.7399998</v>
      </c>
      <c r="L6" s="20">
        <f t="shared" si="2"/>
        <v>0.21723474736493745</v>
      </c>
      <c r="M6" s="4"/>
      <c r="N6" s="11" t="s">
        <v>8</v>
      </c>
      <c r="O6" s="5">
        <v>17361286.699999999</v>
      </c>
      <c r="P6" s="5">
        <v>9002816499.4699993</v>
      </c>
      <c r="Q6" s="21">
        <f t="shared" si="3"/>
        <v>0.19284283647258688</v>
      </c>
      <c r="R6" s="11" t="s">
        <v>8</v>
      </c>
      <c r="S6" s="5">
        <v>177895316.75999999</v>
      </c>
      <c r="T6" s="5">
        <v>7969735512.1300001</v>
      </c>
      <c r="U6" s="19">
        <f t="shared" si="4"/>
        <v>2.2321357652238514</v>
      </c>
    </row>
    <row r="7" spans="1:21" ht="25.5" x14ac:dyDescent="0.25">
      <c r="A7" s="9" t="s">
        <v>9</v>
      </c>
      <c r="B7" s="10">
        <v>487927890.48000002</v>
      </c>
      <c r="C7" s="5">
        <v>18205268906.98</v>
      </c>
      <c r="D7" s="19">
        <f t="shared" si="1"/>
        <v>2.6801465717044466</v>
      </c>
      <c r="E7" s="4" t="s">
        <v>9</v>
      </c>
      <c r="F7" s="6">
        <v>399233689.01999998</v>
      </c>
      <c r="G7" s="5">
        <v>16920630024.370001</v>
      </c>
      <c r="H7" s="7">
        <f t="shared" si="0"/>
        <v>2.3594493139144475</v>
      </c>
      <c r="I7" s="11" t="s">
        <v>9</v>
      </c>
      <c r="J7" s="5">
        <v>89662578.739999995</v>
      </c>
      <c r="K7" s="5">
        <v>16807169922.190001</v>
      </c>
      <c r="L7" s="20">
        <f t="shared" si="2"/>
        <v>0.53347814745194666</v>
      </c>
      <c r="M7" s="4"/>
      <c r="N7" s="11" t="s">
        <v>9</v>
      </c>
      <c r="O7" s="5">
        <v>80316444.840000004</v>
      </c>
      <c r="P7" s="5">
        <v>16422541222.700001</v>
      </c>
      <c r="Q7" s="21">
        <f t="shared" si="3"/>
        <v>0.48906222094898977</v>
      </c>
      <c r="R7" s="11" t="s">
        <v>9</v>
      </c>
      <c r="S7" s="5">
        <v>101301499.15000001</v>
      </c>
      <c r="T7" s="5">
        <v>14766083119.120001</v>
      </c>
      <c r="U7" s="19">
        <f t="shared" si="4"/>
        <v>0.6860417778552852</v>
      </c>
    </row>
    <row r="8" spans="1:21" ht="38.25" x14ac:dyDescent="0.25">
      <c r="A8" s="9" t="s">
        <v>10</v>
      </c>
      <c r="B8" s="10">
        <v>662866934.75999999</v>
      </c>
      <c r="C8" s="5">
        <v>18520818489.48</v>
      </c>
      <c r="D8" s="19">
        <f t="shared" si="1"/>
        <v>3.5790369369286497</v>
      </c>
      <c r="E8" s="4" t="s">
        <v>10</v>
      </c>
      <c r="F8" s="6">
        <v>611948251.42999995</v>
      </c>
      <c r="G8" s="5">
        <v>17849156706.029999</v>
      </c>
      <c r="H8" s="7">
        <f t="shared" si="0"/>
        <v>3.4284434918052167</v>
      </c>
      <c r="I8" s="11" t="s">
        <v>10</v>
      </c>
      <c r="J8" s="5">
        <v>92830426.659999996</v>
      </c>
      <c r="K8" s="5">
        <v>17172461693.83</v>
      </c>
      <c r="L8" s="20">
        <f t="shared" si="2"/>
        <v>0.54057728190101961</v>
      </c>
      <c r="M8" s="4"/>
      <c r="N8" s="11" t="s">
        <v>10</v>
      </c>
      <c r="O8" s="5">
        <v>75828280.25</v>
      </c>
      <c r="P8" s="5">
        <v>16129488323.92</v>
      </c>
      <c r="Q8" s="21">
        <f t="shared" si="3"/>
        <v>0.47012204434003529</v>
      </c>
      <c r="R8" s="11" t="s">
        <v>10</v>
      </c>
      <c r="S8" s="5">
        <v>97973558.090000004</v>
      </c>
      <c r="T8" s="5">
        <v>14640763623.559999</v>
      </c>
      <c r="U8" s="19">
        <f t="shared" si="4"/>
        <v>0.66918338830592416</v>
      </c>
    </row>
    <row r="9" spans="1:21" ht="38.25" x14ac:dyDescent="0.25">
      <c r="A9" s="9" t="s">
        <v>11</v>
      </c>
      <c r="B9" s="10">
        <v>51207163.600000001</v>
      </c>
      <c r="C9" s="5">
        <v>7660034166.5</v>
      </c>
      <c r="D9" s="19">
        <f t="shared" si="1"/>
        <v>0.66849784853371519</v>
      </c>
      <c r="E9" s="4" t="s">
        <v>11</v>
      </c>
      <c r="F9" s="6">
        <v>31919976.469999999</v>
      </c>
      <c r="G9" s="5">
        <v>7043359785.8299999</v>
      </c>
      <c r="H9" s="7">
        <f t="shared" si="0"/>
        <v>0.45319247405502944</v>
      </c>
      <c r="I9" s="11" t="s">
        <v>11</v>
      </c>
      <c r="J9" s="5">
        <v>11260203.52</v>
      </c>
      <c r="K9" s="5">
        <v>7028232467.0900002</v>
      </c>
      <c r="L9" s="20">
        <f t="shared" si="2"/>
        <v>0.16021387415294508</v>
      </c>
      <c r="M9" s="4"/>
      <c r="N9" s="11" t="s">
        <v>11</v>
      </c>
      <c r="O9" s="5">
        <v>13550053.18</v>
      </c>
      <c r="P9" s="5">
        <v>6508894002.6499996</v>
      </c>
      <c r="Q9" s="21">
        <f t="shared" si="3"/>
        <v>0.20817750564816845</v>
      </c>
      <c r="R9" s="11" t="s">
        <v>11</v>
      </c>
      <c r="S9" s="5">
        <v>75300847.890000001</v>
      </c>
      <c r="T9" s="5">
        <v>5945621443.4399996</v>
      </c>
      <c r="U9" s="19">
        <f t="shared" si="4"/>
        <v>1.266492470237605</v>
      </c>
    </row>
    <row r="10" spans="1:21" ht="25.5" x14ac:dyDescent="0.25">
      <c r="A10" s="9" t="s">
        <v>12</v>
      </c>
      <c r="B10" s="10">
        <v>77964814.599999994</v>
      </c>
      <c r="C10" s="5">
        <v>13553028543.370001</v>
      </c>
      <c r="D10" s="19">
        <f t="shared" si="1"/>
        <v>0.5752575105299218</v>
      </c>
      <c r="E10" s="4" t="s">
        <v>12</v>
      </c>
      <c r="F10" s="6">
        <v>60789538.740000002</v>
      </c>
      <c r="G10" s="5">
        <v>12819263602.780001</v>
      </c>
      <c r="H10" s="7">
        <f t="shared" si="0"/>
        <v>0.47420460818683147</v>
      </c>
      <c r="I10" s="11" t="s">
        <v>12</v>
      </c>
      <c r="J10" s="5">
        <v>19255215.579999998</v>
      </c>
      <c r="K10" s="5">
        <v>12183983832.620001</v>
      </c>
      <c r="L10" s="20">
        <f t="shared" si="2"/>
        <v>0.15803710711145472</v>
      </c>
      <c r="M10" s="4"/>
      <c r="N10" s="11" t="s">
        <v>12</v>
      </c>
      <c r="O10" s="5">
        <v>21703773.32</v>
      </c>
      <c r="P10" s="5">
        <v>11395105321.389999</v>
      </c>
      <c r="Q10" s="21">
        <f t="shared" si="3"/>
        <v>0.1904657544433519</v>
      </c>
      <c r="R10" s="11" t="s">
        <v>12</v>
      </c>
      <c r="S10" s="5">
        <v>159279409.21000001</v>
      </c>
      <c r="T10" s="5">
        <v>10174548716.27</v>
      </c>
      <c r="U10" s="19">
        <f t="shared" si="4"/>
        <v>1.5654690311256576</v>
      </c>
    </row>
    <row r="11" spans="1:21" ht="25.5" x14ac:dyDescent="0.25">
      <c r="A11" s="9" t="s">
        <v>13</v>
      </c>
      <c r="B11" s="10">
        <v>133695830.03</v>
      </c>
      <c r="C11" s="5">
        <v>15353232813.799999</v>
      </c>
      <c r="D11" s="19">
        <f t="shared" si="1"/>
        <v>0.87079920985650472</v>
      </c>
      <c r="E11" s="4" t="s">
        <v>13</v>
      </c>
      <c r="F11" s="6">
        <v>106534568.98999999</v>
      </c>
      <c r="G11" s="5">
        <v>14530943086.469999</v>
      </c>
      <c r="H11" s="7">
        <f t="shared" si="0"/>
        <v>0.73315660488131762</v>
      </c>
      <c r="I11" s="11" t="s">
        <v>13</v>
      </c>
      <c r="J11" s="5">
        <v>37555636</v>
      </c>
      <c r="K11" s="5">
        <v>13734990219.5</v>
      </c>
      <c r="L11" s="20">
        <f t="shared" si="2"/>
        <v>0.27343038036300221</v>
      </c>
      <c r="M11" s="4"/>
      <c r="N11" s="11" t="s">
        <v>13</v>
      </c>
      <c r="O11" s="5">
        <v>53291145.280000001</v>
      </c>
      <c r="P11" s="5">
        <v>13301279548.440001</v>
      </c>
      <c r="Q11" s="21">
        <f t="shared" si="3"/>
        <v>0.40064675797487531</v>
      </c>
      <c r="R11" s="11" t="s">
        <v>13</v>
      </c>
      <c r="S11" s="5">
        <v>61857470.390000001</v>
      </c>
      <c r="T11" s="5">
        <v>12283417936.67</v>
      </c>
      <c r="U11" s="19">
        <f t="shared" si="4"/>
        <v>0.50358516423458421</v>
      </c>
    </row>
    <row r="12" spans="1:21" ht="38.25" x14ac:dyDescent="0.25">
      <c r="A12" s="9" t="s">
        <v>14</v>
      </c>
      <c r="B12" s="10">
        <v>6271911398.3000002</v>
      </c>
      <c r="C12" s="5">
        <v>190273530524.26999</v>
      </c>
      <c r="D12" s="19">
        <f t="shared" si="1"/>
        <v>3.296260589173226</v>
      </c>
      <c r="E12" s="4" t="s">
        <v>14</v>
      </c>
      <c r="F12" s="6">
        <v>5068400371.5699997</v>
      </c>
      <c r="G12" s="5">
        <v>176145860115.64999</v>
      </c>
      <c r="H12" s="7">
        <f t="shared" si="0"/>
        <v>2.8773883009468975</v>
      </c>
      <c r="I12" s="11" t="s">
        <v>14</v>
      </c>
      <c r="J12" s="5">
        <v>1745720712.2</v>
      </c>
      <c r="K12" s="5">
        <v>168753167006.51999</v>
      </c>
      <c r="L12" s="20">
        <f t="shared" si="2"/>
        <v>1.0344817482047919</v>
      </c>
      <c r="M12" s="4"/>
      <c r="N12" s="11" t="s">
        <v>14</v>
      </c>
      <c r="O12" s="5">
        <v>1635904138.24</v>
      </c>
      <c r="P12" s="5">
        <v>153538538280.38</v>
      </c>
      <c r="Q12" s="21">
        <f t="shared" si="3"/>
        <v>1.0654680945657047</v>
      </c>
      <c r="R12" s="11" t="s">
        <v>14</v>
      </c>
      <c r="S12" s="5">
        <v>558445536.88999999</v>
      </c>
      <c r="T12" s="5">
        <v>141581391584.29999</v>
      </c>
      <c r="U12" s="19">
        <f t="shared" si="4"/>
        <v>0.39443427603089487</v>
      </c>
    </row>
    <row r="13" spans="1:21" ht="38.25" x14ac:dyDescent="0.25">
      <c r="A13" s="9" t="s">
        <v>15</v>
      </c>
      <c r="B13" s="10">
        <v>46340671.939999998</v>
      </c>
      <c r="C13" s="5">
        <v>8523741437.3900003</v>
      </c>
      <c r="D13" s="19">
        <f t="shared" si="1"/>
        <v>0.54366585706979964</v>
      </c>
      <c r="E13" s="4" t="s">
        <v>15</v>
      </c>
      <c r="F13" s="6">
        <v>28758619.690000001</v>
      </c>
      <c r="G13" s="5">
        <v>8219076005.3299999</v>
      </c>
      <c r="H13" s="7">
        <f t="shared" si="0"/>
        <v>0.34990088510375478</v>
      </c>
      <c r="I13" s="11" t="s">
        <v>15</v>
      </c>
      <c r="J13" s="5">
        <v>12462073.65</v>
      </c>
      <c r="K13" s="5">
        <v>8269479579.6800003</v>
      </c>
      <c r="L13" s="20">
        <f t="shared" si="2"/>
        <v>0.15069961210887031</v>
      </c>
      <c r="M13" s="4"/>
      <c r="N13" s="11" t="s">
        <v>15</v>
      </c>
      <c r="O13" s="5">
        <v>16884340.02</v>
      </c>
      <c r="P13" s="5">
        <v>7859035685.5299997</v>
      </c>
      <c r="Q13" s="21">
        <f t="shared" si="3"/>
        <v>0.21483984416927035</v>
      </c>
      <c r="R13" s="11" t="s">
        <v>15</v>
      </c>
      <c r="S13" s="5">
        <v>85576674.030000001</v>
      </c>
      <c r="T13" s="5">
        <v>6939725145.1000004</v>
      </c>
      <c r="U13" s="19">
        <f t="shared" si="4"/>
        <v>1.2331421236534701</v>
      </c>
    </row>
    <row r="14" spans="1:21" ht="25.5" x14ac:dyDescent="0.25">
      <c r="A14" s="9" t="s">
        <v>16</v>
      </c>
      <c r="B14" s="10">
        <v>522768164.06</v>
      </c>
      <c r="C14" s="5">
        <v>15551271130.18</v>
      </c>
      <c r="D14" s="19">
        <f t="shared" si="1"/>
        <v>3.3615783538457871</v>
      </c>
      <c r="E14" s="4" t="s">
        <v>16</v>
      </c>
      <c r="F14" s="6">
        <v>320833673.74000001</v>
      </c>
      <c r="G14" s="5">
        <v>14617782988.299999</v>
      </c>
      <c r="H14" s="7">
        <f t="shared" si="0"/>
        <v>2.1948175998836055</v>
      </c>
      <c r="I14" s="11" t="s">
        <v>16</v>
      </c>
      <c r="J14" s="5">
        <v>94471372.459999993</v>
      </c>
      <c r="K14" s="5">
        <v>14085801345.200001</v>
      </c>
      <c r="L14" s="20">
        <f t="shared" si="2"/>
        <v>0.67068511151616428</v>
      </c>
      <c r="M14" s="4"/>
      <c r="N14" s="11" t="s">
        <v>16</v>
      </c>
      <c r="O14" s="5">
        <v>120582611.67</v>
      </c>
      <c r="P14" s="5">
        <v>13082346106.43</v>
      </c>
      <c r="Q14" s="21">
        <f t="shared" si="3"/>
        <v>0.92172008513620807</v>
      </c>
      <c r="R14" s="11" t="s">
        <v>16</v>
      </c>
      <c r="S14" s="5">
        <v>115776957.95999999</v>
      </c>
      <c r="T14" s="5">
        <v>11734876751.01</v>
      </c>
      <c r="U14" s="19">
        <f t="shared" si="4"/>
        <v>0.98660565778873888</v>
      </c>
    </row>
    <row r="15" spans="1:21" ht="38.25" x14ac:dyDescent="0.25">
      <c r="A15" s="9" t="s">
        <v>17</v>
      </c>
      <c r="B15" s="10">
        <v>88740344.390000001</v>
      </c>
      <c r="C15" s="5">
        <v>12384162263.549999</v>
      </c>
      <c r="D15" s="19">
        <f t="shared" si="1"/>
        <v>0.71656315947334825</v>
      </c>
      <c r="E15" s="4" t="s">
        <v>17</v>
      </c>
      <c r="F15" s="6">
        <v>52239060.539999999</v>
      </c>
      <c r="G15" s="5">
        <v>11624077363.889999</v>
      </c>
      <c r="H15" s="7">
        <f t="shared" si="0"/>
        <v>0.4494039303478809</v>
      </c>
      <c r="I15" s="11" t="s">
        <v>17</v>
      </c>
      <c r="J15" s="5">
        <v>24788381.75</v>
      </c>
      <c r="K15" s="5">
        <v>11262032895.41</v>
      </c>
      <c r="L15" s="20">
        <f t="shared" si="2"/>
        <v>0.22010574804929628</v>
      </c>
      <c r="M15" s="4"/>
      <c r="N15" s="11" t="s">
        <v>17</v>
      </c>
      <c r="O15" s="5">
        <v>28869476.789999999</v>
      </c>
      <c r="P15" s="5">
        <v>11124611455.6</v>
      </c>
      <c r="Q15" s="21">
        <f t="shared" si="3"/>
        <v>0.25950997844034762</v>
      </c>
      <c r="R15" s="11" t="s">
        <v>17</v>
      </c>
      <c r="S15" s="5">
        <v>78055602.180000007</v>
      </c>
      <c r="T15" s="5">
        <v>9998887421.8099995</v>
      </c>
      <c r="U15" s="19">
        <f t="shared" si="4"/>
        <v>0.78064287442362645</v>
      </c>
    </row>
    <row r="16" spans="1:21" ht="38.25" x14ac:dyDescent="0.25">
      <c r="A16" s="9" t="s">
        <v>18</v>
      </c>
      <c r="B16" s="10">
        <v>78848326.019999996</v>
      </c>
      <c r="C16" s="5">
        <v>13227839869.889999</v>
      </c>
      <c r="D16" s="19">
        <f t="shared" si="1"/>
        <v>0.59607862504806453</v>
      </c>
      <c r="E16" s="4" t="s">
        <v>18</v>
      </c>
      <c r="F16" s="6">
        <v>44168435.770000003</v>
      </c>
      <c r="G16" s="5">
        <v>10819045163.08</v>
      </c>
      <c r="H16" s="7">
        <f t="shared" si="0"/>
        <v>0.40824707822391593</v>
      </c>
      <c r="I16" s="11" t="s">
        <v>18</v>
      </c>
      <c r="J16" s="5">
        <v>13503300.439999999</v>
      </c>
      <c r="K16" s="5">
        <v>9877578695.2999992</v>
      </c>
      <c r="L16" s="20">
        <f t="shared" si="2"/>
        <v>0.13670658424037876</v>
      </c>
      <c r="M16" s="4"/>
      <c r="N16" s="11" t="s">
        <v>18</v>
      </c>
      <c r="O16" s="5">
        <v>18712663.41</v>
      </c>
      <c r="P16" s="5">
        <v>8689283764.0799999</v>
      </c>
      <c r="Q16" s="21">
        <f t="shared" si="3"/>
        <v>0.2153533469277977</v>
      </c>
      <c r="R16" s="11" t="s">
        <v>18</v>
      </c>
      <c r="S16" s="5">
        <v>62627144.600000001</v>
      </c>
      <c r="T16" s="5">
        <v>7662040129.3800001</v>
      </c>
      <c r="U16" s="19">
        <f t="shared" si="4"/>
        <v>0.81736904978945457</v>
      </c>
    </row>
    <row r="17" spans="1:21" ht="25.5" x14ac:dyDescent="0.25">
      <c r="A17" s="9" t="s">
        <v>19</v>
      </c>
      <c r="B17" s="10">
        <v>486231279.11000001</v>
      </c>
      <c r="C17" s="5">
        <v>22204907020.950001</v>
      </c>
      <c r="D17" s="19">
        <f t="shared" si="1"/>
        <v>2.1897469719249352</v>
      </c>
      <c r="E17" s="4" t="s">
        <v>19</v>
      </c>
      <c r="F17" s="6">
        <v>382764552.88999999</v>
      </c>
      <c r="G17" s="5">
        <v>20191211260.860001</v>
      </c>
      <c r="H17" s="7">
        <f t="shared" si="0"/>
        <v>1.8956988164052173</v>
      </c>
      <c r="I17" s="11" t="s">
        <v>19</v>
      </c>
      <c r="J17" s="5">
        <v>113177689.20999999</v>
      </c>
      <c r="K17" s="5">
        <v>19090010116.349998</v>
      </c>
      <c r="L17" s="20">
        <f t="shared" si="2"/>
        <v>0.59286343234080763</v>
      </c>
      <c r="M17" s="4"/>
      <c r="N17" s="11" t="s">
        <v>19</v>
      </c>
      <c r="O17" s="5">
        <v>135628640.46000001</v>
      </c>
      <c r="P17" s="5">
        <v>17544444861.380001</v>
      </c>
      <c r="Q17" s="21">
        <f t="shared" si="3"/>
        <v>0.7730574636679145</v>
      </c>
      <c r="R17" s="11" t="s">
        <v>19</v>
      </c>
      <c r="S17" s="5">
        <v>116431149.23</v>
      </c>
      <c r="T17" s="5">
        <v>15911379465.17</v>
      </c>
      <c r="U17" s="19">
        <f t="shared" si="4"/>
        <v>0.73174767458011869</v>
      </c>
    </row>
    <row r="18" spans="1:21" ht="38.25" x14ac:dyDescent="0.25">
      <c r="A18" s="9" t="s">
        <v>20</v>
      </c>
      <c r="B18" s="10">
        <v>172660229.38999999</v>
      </c>
      <c r="C18" s="5">
        <v>19949978336.130001</v>
      </c>
      <c r="D18" s="19">
        <f t="shared" si="1"/>
        <v>0.86546574878884563</v>
      </c>
      <c r="E18" s="4" t="s">
        <v>20</v>
      </c>
      <c r="F18" s="6">
        <v>145085501.28999999</v>
      </c>
      <c r="G18" s="5">
        <v>18589065543.099998</v>
      </c>
      <c r="H18" s="7">
        <f t="shared" si="0"/>
        <v>0.78048840568994449</v>
      </c>
      <c r="I18" s="11" t="s">
        <v>20</v>
      </c>
      <c r="J18" s="5">
        <v>49069786.590000004</v>
      </c>
      <c r="K18" s="5">
        <v>18351322733.630001</v>
      </c>
      <c r="L18" s="20">
        <f t="shared" si="2"/>
        <v>0.26739100664431342</v>
      </c>
      <c r="M18" s="4"/>
      <c r="N18" s="11" t="s">
        <v>20</v>
      </c>
      <c r="O18" s="5">
        <v>58253314.979999997</v>
      </c>
      <c r="P18" s="5">
        <v>17129168033.799999</v>
      </c>
      <c r="Q18" s="21">
        <f t="shared" si="3"/>
        <v>0.34008257064821884</v>
      </c>
      <c r="R18" s="11" t="s">
        <v>20</v>
      </c>
      <c r="S18" s="5">
        <v>175641315.05000001</v>
      </c>
      <c r="T18" s="5">
        <v>15387361241.110001</v>
      </c>
      <c r="U18" s="19">
        <f t="shared" si="4"/>
        <v>1.1414648184169733</v>
      </c>
    </row>
    <row r="19" spans="1:21" x14ac:dyDescent="0.25">
      <c r="A19" s="9" t="s">
        <v>21</v>
      </c>
      <c r="B19" s="10">
        <v>14370232552.559999</v>
      </c>
      <c r="C19" s="5">
        <v>749211579814.18994</v>
      </c>
      <c r="D19" s="19">
        <f t="shared" si="1"/>
        <v>1.9180473099633517</v>
      </c>
      <c r="E19" s="4" t="s">
        <v>21</v>
      </c>
      <c r="F19" s="6">
        <v>11057642925.370001</v>
      </c>
      <c r="G19" s="5">
        <v>695411039937.12</v>
      </c>
      <c r="H19" s="7">
        <f t="shared" si="0"/>
        <v>1.5900873426412452</v>
      </c>
      <c r="I19" s="11" t="s">
        <v>21</v>
      </c>
      <c r="J19" s="5">
        <v>2914810225.1599998</v>
      </c>
      <c r="K19" s="5">
        <v>650497037577.98999</v>
      </c>
      <c r="L19" s="20">
        <f t="shared" si="2"/>
        <v>0.44808970014879351</v>
      </c>
      <c r="M19" s="4"/>
      <c r="N19" s="11" t="s">
        <v>21</v>
      </c>
      <c r="O19" s="5">
        <v>1435235350.49</v>
      </c>
      <c r="P19" s="5">
        <v>594458479662.19995</v>
      </c>
      <c r="Q19" s="21">
        <f t="shared" si="3"/>
        <v>0.24143576037565653</v>
      </c>
      <c r="R19" s="11" t="s">
        <v>21</v>
      </c>
      <c r="S19" s="5">
        <v>1526873309.51</v>
      </c>
      <c r="T19" s="5">
        <v>532676879763.53003</v>
      </c>
      <c r="U19" s="19">
        <f t="shared" si="4"/>
        <v>0.28664155842240069</v>
      </c>
    </row>
    <row r="20" spans="1:21" ht="25.5" x14ac:dyDescent="0.25">
      <c r="A20" s="9" t="s">
        <v>22</v>
      </c>
      <c r="B20" s="10"/>
      <c r="C20" s="5">
        <v>1226457500.97</v>
      </c>
      <c r="D20" s="19">
        <f t="shared" si="1"/>
        <v>0</v>
      </c>
      <c r="E20" s="4" t="s">
        <v>22</v>
      </c>
      <c r="F20" s="6"/>
      <c r="G20" s="5">
        <v>1289058902.29</v>
      </c>
      <c r="H20" s="7">
        <f t="shared" si="0"/>
        <v>0</v>
      </c>
      <c r="I20" s="11" t="s">
        <v>22</v>
      </c>
      <c r="J20" s="5"/>
      <c r="K20" s="5">
        <v>1340554572.0899999</v>
      </c>
      <c r="L20" s="20">
        <f t="shared" si="2"/>
        <v>0</v>
      </c>
      <c r="M20" s="4"/>
      <c r="N20" s="11" t="s">
        <v>22</v>
      </c>
      <c r="O20" s="5"/>
      <c r="P20" s="5">
        <v>1267307202.4400001</v>
      </c>
      <c r="Q20" s="21">
        <f t="shared" si="3"/>
        <v>0</v>
      </c>
      <c r="R20" s="11" t="s">
        <v>22</v>
      </c>
      <c r="S20" s="5">
        <v>118641.72</v>
      </c>
      <c r="T20" s="5">
        <v>1146866935.23</v>
      </c>
      <c r="U20" s="19">
        <f t="shared" si="4"/>
        <v>1.0344854869863942E-2</v>
      </c>
    </row>
    <row r="21" spans="1:21" ht="38.25" x14ac:dyDescent="0.25">
      <c r="A21" s="9" t="s">
        <v>23</v>
      </c>
      <c r="B21" s="10">
        <v>48614156.259999998</v>
      </c>
      <c r="C21" s="5">
        <v>10804668232.799999</v>
      </c>
      <c r="D21" s="19">
        <f t="shared" si="1"/>
        <v>0.44993659418824911</v>
      </c>
      <c r="E21" s="4" t="s">
        <v>23</v>
      </c>
      <c r="F21" s="6">
        <v>19308710.359999999</v>
      </c>
      <c r="G21" s="5">
        <v>10131384437.07</v>
      </c>
      <c r="H21" s="7">
        <f t="shared" si="0"/>
        <v>0.19058313777286776</v>
      </c>
      <c r="I21" s="11" t="s">
        <v>23</v>
      </c>
      <c r="J21" s="5">
        <v>9180902.1799999997</v>
      </c>
      <c r="K21" s="5">
        <v>10463556560.700001</v>
      </c>
      <c r="L21" s="20">
        <f t="shared" si="2"/>
        <v>8.7741697832288565E-2</v>
      </c>
      <c r="M21" s="4"/>
      <c r="N21" s="11" t="s">
        <v>91</v>
      </c>
      <c r="O21" s="5">
        <v>12764426.619999999</v>
      </c>
      <c r="P21" s="5">
        <v>10112982845.200001</v>
      </c>
      <c r="Q21" s="21">
        <f t="shared" si="3"/>
        <v>0.1262182168741488</v>
      </c>
      <c r="R21" s="11" t="s">
        <v>23</v>
      </c>
      <c r="S21" s="5">
        <v>42197945.020000003</v>
      </c>
      <c r="T21" s="5">
        <v>9230786186.7399998</v>
      </c>
      <c r="U21" s="19">
        <f t="shared" si="4"/>
        <v>0.45714356465776712</v>
      </c>
    </row>
    <row r="22" spans="1:21" ht="38.25" x14ac:dyDescent="0.25">
      <c r="A22" s="9" t="s">
        <v>24</v>
      </c>
      <c r="B22" s="10">
        <v>52742806.43</v>
      </c>
      <c r="C22" s="5">
        <v>22817353101.25</v>
      </c>
      <c r="D22" s="19">
        <f t="shared" si="1"/>
        <v>0.2311521682465027</v>
      </c>
      <c r="E22" s="4" t="s">
        <v>24</v>
      </c>
      <c r="F22" s="6">
        <v>34599427.899999999</v>
      </c>
      <c r="G22" s="5">
        <v>21870502561.57</v>
      </c>
      <c r="H22" s="7">
        <f t="shared" si="0"/>
        <v>0.15820133900716474</v>
      </c>
      <c r="I22" s="11" t="s">
        <v>24</v>
      </c>
      <c r="J22" s="5">
        <v>12950885.83</v>
      </c>
      <c r="K22" s="5">
        <v>22109357875.209999</v>
      </c>
      <c r="L22" s="20">
        <f t="shared" si="2"/>
        <v>5.8576490113813356E-2</v>
      </c>
      <c r="M22" s="4"/>
      <c r="N22" s="11" t="s">
        <v>24</v>
      </c>
      <c r="O22" s="5">
        <v>13031013.07</v>
      </c>
      <c r="P22" s="5">
        <v>22734694699.169998</v>
      </c>
      <c r="Q22" s="21">
        <f t="shared" si="3"/>
        <v>5.7317739439341306E-2</v>
      </c>
      <c r="R22" s="11" t="s">
        <v>24</v>
      </c>
      <c r="S22" s="5">
        <v>171863127.44</v>
      </c>
      <c r="T22" s="5">
        <v>21140166401.209999</v>
      </c>
      <c r="U22" s="19">
        <f t="shared" si="4"/>
        <v>0.81296960571778221</v>
      </c>
    </row>
    <row r="23" spans="1:21" ht="38.25" x14ac:dyDescent="0.25">
      <c r="A23" s="9" t="s">
        <v>25</v>
      </c>
      <c r="B23" s="10">
        <v>62131135.280000001</v>
      </c>
      <c r="C23" s="5">
        <v>24466047472.689999</v>
      </c>
      <c r="D23" s="19">
        <f t="shared" si="1"/>
        <v>0.25394839664785784</v>
      </c>
      <c r="E23" s="4" t="s">
        <v>25</v>
      </c>
      <c r="F23" s="6">
        <v>29884806</v>
      </c>
      <c r="G23" s="5">
        <v>23195499780.119999</v>
      </c>
      <c r="H23" s="7">
        <f t="shared" si="0"/>
        <v>0.12883881047311235</v>
      </c>
      <c r="I23" s="11" t="s">
        <v>25</v>
      </c>
      <c r="J23" s="5">
        <v>10722291.710000001</v>
      </c>
      <c r="K23" s="5">
        <v>23737314099.77</v>
      </c>
      <c r="L23" s="20">
        <f t="shared" si="2"/>
        <v>4.5170618988034088E-2</v>
      </c>
      <c r="M23" s="4"/>
      <c r="N23" s="11" t="s">
        <v>25</v>
      </c>
      <c r="O23" s="5">
        <v>15276576.17</v>
      </c>
      <c r="P23" s="5">
        <v>22463351889.27</v>
      </c>
      <c r="Q23" s="21">
        <f t="shared" si="3"/>
        <v>6.8006663677370044E-2</v>
      </c>
      <c r="R23" s="11" t="s">
        <v>25</v>
      </c>
      <c r="S23" s="5">
        <v>175879402.68000001</v>
      </c>
      <c r="T23" s="5">
        <v>21229169019.040001</v>
      </c>
      <c r="U23" s="19">
        <f t="shared" si="4"/>
        <v>0.82847992082147637</v>
      </c>
    </row>
    <row r="24" spans="1:21" ht="38.25" x14ac:dyDescent="0.25">
      <c r="A24" s="9" t="s">
        <v>26</v>
      </c>
      <c r="B24" s="10">
        <v>205033245.84</v>
      </c>
      <c r="C24" s="5">
        <v>18413518735.220001</v>
      </c>
      <c r="D24" s="19">
        <f t="shared" si="1"/>
        <v>1.1134930199290358</v>
      </c>
      <c r="E24" s="4" t="s">
        <v>26</v>
      </c>
      <c r="F24" s="6">
        <v>130869637.31</v>
      </c>
      <c r="G24" s="5">
        <v>17212316039.490002</v>
      </c>
      <c r="H24" s="7">
        <f t="shared" si="0"/>
        <v>0.760325554154057</v>
      </c>
      <c r="I24" s="11" t="s">
        <v>26</v>
      </c>
      <c r="J24" s="5">
        <v>22082030.18</v>
      </c>
      <c r="K24" s="5">
        <v>17669492102.439999</v>
      </c>
      <c r="L24" s="20">
        <f t="shared" si="2"/>
        <v>0.12497263674574251</v>
      </c>
      <c r="M24" s="4"/>
      <c r="N24" s="11" t="s">
        <v>92</v>
      </c>
      <c r="O24" s="5">
        <v>34264199.700000003</v>
      </c>
      <c r="P24" s="5">
        <v>16791112698.559999</v>
      </c>
      <c r="Q24" s="21">
        <f t="shared" si="3"/>
        <v>0.2040615194187726</v>
      </c>
      <c r="R24" s="11" t="s">
        <v>26</v>
      </c>
      <c r="S24" s="5">
        <v>188906185.46000001</v>
      </c>
      <c r="T24" s="5">
        <v>16081089794</v>
      </c>
      <c r="U24" s="19">
        <f t="shared" si="4"/>
        <v>1.1747100966408546</v>
      </c>
    </row>
    <row r="25" spans="1:21" ht="38.25" x14ac:dyDescent="0.25">
      <c r="A25" s="9" t="s">
        <v>27</v>
      </c>
      <c r="B25" s="10">
        <v>242981415.59999999</v>
      </c>
      <c r="C25" s="5">
        <v>15867648170.620001</v>
      </c>
      <c r="D25" s="19">
        <f t="shared" si="1"/>
        <v>1.5313007509827206</v>
      </c>
      <c r="E25" s="4" t="s">
        <v>27</v>
      </c>
      <c r="F25" s="6">
        <v>161329599.86000001</v>
      </c>
      <c r="G25" s="5">
        <v>14707479580.549999</v>
      </c>
      <c r="H25" s="7">
        <f t="shared" si="0"/>
        <v>1.0969221407137044</v>
      </c>
      <c r="I25" s="11" t="s">
        <v>27</v>
      </c>
      <c r="J25" s="5">
        <v>42292656.369999997</v>
      </c>
      <c r="K25" s="5">
        <v>14339370815.549999</v>
      </c>
      <c r="L25" s="20">
        <f t="shared" si="2"/>
        <v>0.29494080956562407</v>
      </c>
      <c r="M25" s="4"/>
      <c r="N25" s="11" t="s">
        <v>27</v>
      </c>
      <c r="O25" s="5">
        <v>67675937.019999996</v>
      </c>
      <c r="P25" s="5">
        <v>13357264514.389999</v>
      </c>
      <c r="Q25" s="21">
        <f t="shared" si="3"/>
        <v>0.50666015445820967</v>
      </c>
      <c r="R25" s="11" t="s">
        <v>27</v>
      </c>
      <c r="S25" s="5">
        <v>66165449.079999998</v>
      </c>
      <c r="T25" s="5">
        <v>11942394489.85</v>
      </c>
      <c r="U25" s="19">
        <f t="shared" si="4"/>
        <v>0.5540383809648467</v>
      </c>
    </row>
    <row r="26" spans="1:21" ht="38.25" x14ac:dyDescent="0.25">
      <c r="A26" s="9" t="s">
        <v>28</v>
      </c>
      <c r="B26" s="10">
        <v>1609785305.28</v>
      </c>
      <c r="C26" s="5">
        <v>35552847354.919998</v>
      </c>
      <c r="D26" s="19">
        <f t="shared" si="1"/>
        <v>4.5278660502482344</v>
      </c>
      <c r="E26" s="4" t="s">
        <v>28</v>
      </c>
      <c r="F26" s="6">
        <v>1129630054.8</v>
      </c>
      <c r="G26" s="5">
        <v>30082155827.049999</v>
      </c>
      <c r="H26" s="22">
        <f t="shared" si="0"/>
        <v>3.7551499343814712</v>
      </c>
      <c r="I26" s="11" t="s">
        <v>28</v>
      </c>
      <c r="J26" s="5">
        <v>115862038.12</v>
      </c>
      <c r="K26" s="5">
        <v>28715525075.790001</v>
      </c>
      <c r="L26" s="20">
        <f t="shared" si="2"/>
        <v>0.40348222020736457</v>
      </c>
      <c r="M26" s="4"/>
      <c r="N26" s="11" t="s">
        <v>28</v>
      </c>
      <c r="O26" s="5">
        <v>111428254</v>
      </c>
      <c r="P26" s="5">
        <v>25819353614.669998</v>
      </c>
      <c r="Q26" s="21">
        <f t="shared" si="3"/>
        <v>0.4315687203597881</v>
      </c>
      <c r="R26" s="11" t="s">
        <v>28</v>
      </c>
      <c r="S26" s="5">
        <v>120755090.03</v>
      </c>
      <c r="T26" s="5">
        <v>23273443757.549999</v>
      </c>
      <c r="U26" s="19">
        <f t="shared" si="4"/>
        <v>0.51885355380991505</v>
      </c>
    </row>
    <row r="27" spans="1:21" ht="38.25" x14ac:dyDescent="0.25">
      <c r="A27" s="9" t="s">
        <v>29</v>
      </c>
      <c r="B27" s="10">
        <v>32192678.379999999</v>
      </c>
      <c r="C27" s="5">
        <v>27936027461.849998</v>
      </c>
      <c r="D27" s="19">
        <f t="shared" si="1"/>
        <v>0.11523713750626488</v>
      </c>
      <c r="E27" s="4" t="s">
        <v>29</v>
      </c>
      <c r="F27" s="6">
        <v>21198682.780000001</v>
      </c>
      <c r="G27" s="5">
        <v>25856856610.150002</v>
      </c>
      <c r="H27" s="7">
        <f t="shared" si="0"/>
        <v>8.1984763653283929E-2</v>
      </c>
      <c r="I27" s="11" t="s">
        <v>29</v>
      </c>
      <c r="J27" s="5">
        <v>12050611.060000001</v>
      </c>
      <c r="K27" s="5">
        <v>24902689405.540001</v>
      </c>
      <c r="L27" s="20">
        <f t="shared" si="2"/>
        <v>4.8390801747377331E-2</v>
      </c>
      <c r="M27" s="4"/>
      <c r="N27" s="11" t="s">
        <v>29</v>
      </c>
      <c r="O27" s="5">
        <v>15364005.720000001</v>
      </c>
      <c r="P27" s="5">
        <v>24342227879.84</v>
      </c>
      <c r="Q27" s="21">
        <f t="shared" si="3"/>
        <v>6.3116678538386053E-2</v>
      </c>
      <c r="R27" s="11" t="s">
        <v>29</v>
      </c>
      <c r="S27" s="5">
        <v>78975228.409999996</v>
      </c>
      <c r="T27" s="5">
        <v>22028714931.119999</v>
      </c>
      <c r="U27" s="19">
        <f t="shared" si="4"/>
        <v>0.35851037455857931</v>
      </c>
    </row>
    <row r="28" spans="1:21" ht="38.25" x14ac:dyDescent="0.25">
      <c r="A28" s="9" t="s">
        <v>30</v>
      </c>
      <c r="B28" s="10">
        <v>102697319.98999999</v>
      </c>
      <c r="C28" s="5">
        <v>9379295314.7700005</v>
      </c>
      <c r="D28" s="19">
        <f t="shared" si="1"/>
        <v>1.0949364162601629</v>
      </c>
      <c r="E28" s="4" t="s">
        <v>30</v>
      </c>
      <c r="F28" s="6">
        <v>78727830</v>
      </c>
      <c r="G28" s="5">
        <v>8719116733.6700001</v>
      </c>
      <c r="H28" s="7">
        <f t="shared" si="0"/>
        <v>0.9029335471101364</v>
      </c>
      <c r="I28" s="11" t="s">
        <v>30</v>
      </c>
      <c r="J28" s="5">
        <v>22306492.280000001</v>
      </c>
      <c r="K28" s="5">
        <v>8576010696.3000002</v>
      </c>
      <c r="L28" s="20">
        <f t="shared" si="2"/>
        <v>0.26010336355601588</v>
      </c>
      <c r="M28" s="4"/>
      <c r="N28" s="11" t="s">
        <v>30</v>
      </c>
      <c r="O28" s="5">
        <v>28557054.370000001</v>
      </c>
      <c r="P28" s="5">
        <v>8185120891.3900003</v>
      </c>
      <c r="Q28" s="21">
        <f t="shared" si="3"/>
        <v>0.34888983008228275</v>
      </c>
      <c r="R28" s="11" t="s">
        <v>30</v>
      </c>
      <c r="S28" s="5">
        <v>30756219</v>
      </c>
      <c r="T28" s="5">
        <v>7493353259.2799997</v>
      </c>
      <c r="U28" s="19">
        <f t="shared" si="4"/>
        <v>0.41044667101354859</v>
      </c>
    </row>
    <row r="29" spans="1:21" ht="25.5" x14ac:dyDescent="0.25">
      <c r="A29" s="9" t="s">
        <v>31</v>
      </c>
      <c r="B29" s="10">
        <v>48051254.159999996</v>
      </c>
      <c r="C29" s="5">
        <v>7856035498.6999998</v>
      </c>
      <c r="D29" s="19">
        <f t="shared" si="1"/>
        <v>0.6116476200744182</v>
      </c>
      <c r="E29" s="4" t="s">
        <v>31</v>
      </c>
      <c r="F29" s="6">
        <v>28121492.100000001</v>
      </c>
      <c r="G29" s="5">
        <v>7474801359.5500002</v>
      </c>
      <c r="H29" s="7">
        <f t="shared" si="0"/>
        <v>0.37621724976104215</v>
      </c>
      <c r="I29" s="11" t="s">
        <v>31</v>
      </c>
      <c r="J29" s="5">
        <v>15819418.74</v>
      </c>
      <c r="K29" s="5">
        <v>7608966054.6400003</v>
      </c>
      <c r="L29" s="20">
        <f t="shared" si="2"/>
        <v>0.20790497192917831</v>
      </c>
      <c r="M29" s="4"/>
      <c r="N29" s="11" t="s">
        <v>31</v>
      </c>
      <c r="O29" s="5">
        <v>20943677.140000001</v>
      </c>
      <c r="P29" s="5">
        <v>7325417006.54</v>
      </c>
      <c r="Q29" s="21">
        <f t="shared" si="3"/>
        <v>0.28590423072573018</v>
      </c>
      <c r="R29" s="11" t="s">
        <v>31</v>
      </c>
      <c r="S29" s="5">
        <v>43119340.409999996</v>
      </c>
      <c r="T29" s="5">
        <v>6629644665.3299999</v>
      </c>
      <c r="U29" s="19">
        <f t="shared" si="4"/>
        <v>0.65040198361602042</v>
      </c>
    </row>
    <row r="30" spans="1:21" ht="25.5" x14ac:dyDescent="0.25">
      <c r="A30" s="9" t="s">
        <v>32</v>
      </c>
      <c r="B30" s="10">
        <v>5986443098.4200001</v>
      </c>
      <c r="C30" s="5">
        <v>199445605059.59</v>
      </c>
      <c r="D30" s="19">
        <f t="shared" si="1"/>
        <v>3.0015417469998305</v>
      </c>
      <c r="E30" s="4" t="s">
        <v>32</v>
      </c>
      <c r="F30" s="6">
        <v>3888662663.6100001</v>
      </c>
      <c r="G30" s="5">
        <v>181021208859.14001</v>
      </c>
      <c r="H30" s="7">
        <f t="shared" si="0"/>
        <v>2.1481806955758023</v>
      </c>
      <c r="I30" s="11" t="s">
        <v>32</v>
      </c>
      <c r="J30" s="5">
        <v>381270026.88999999</v>
      </c>
      <c r="K30" s="5">
        <v>164720186603.29999</v>
      </c>
      <c r="L30" s="20">
        <f t="shared" si="2"/>
        <v>0.23146527135027037</v>
      </c>
      <c r="M30" s="4"/>
      <c r="N30" s="11" t="s">
        <v>32</v>
      </c>
      <c r="O30" s="5">
        <v>344829221.13999999</v>
      </c>
      <c r="P30" s="5">
        <v>149491617594.60001</v>
      </c>
      <c r="Q30" s="21">
        <f t="shared" si="3"/>
        <v>0.23066793087698587</v>
      </c>
      <c r="R30" s="11" t="s">
        <v>32</v>
      </c>
      <c r="S30" s="5">
        <v>406322556.75</v>
      </c>
      <c r="T30" s="5">
        <v>133366485392.78</v>
      </c>
      <c r="U30" s="19">
        <f t="shared" si="4"/>
        <v>0.30466616523134149</v>
      </c>
    </row>
    <row r="31" spans="1:21" ht="38.25" x14ac:dyDescent="0.25">
      <c r="A31" s="9" t="s">
        <v>33</v>
      </c>
      <c r="B31" s="10">
        <v>8031649.0499999998</v>
      </c>
      <c r="C31" s="5">
        <v>2543530427.4699998</v>
      </c>
      <c r="D31" s="19">
        <f t="shared" si="1"/>
        <v>0.31576775977431198</v>
      </c>
      <c r="E31" s="4" t="s">
        <v>33</v>
      </c>
      <c r="F31" s="6">
        <v>2823138.02</v>
      </c>
      <c r="G31" s="5">
        <v>2422345209.4099998</v>
      </c>
      <c r="H31" s="7">
        <f t="shared" si="0"/>
        <v>0.11654565208266164</v>
      </c>
      <c r="I31" s="11" t="s">
        <v>33</v>
      </c>
      <c r="J31" s="5"/>
      <c r="K31" s="5">
        <v>1090241204.2</v>
      </c>
      <c r="L31" s="20">
        <f t="shared" si="2"/>
        <v>0</v>
      </c>
      <c r="M31" s="4"/>
      <c r="N31" s="11" t="s">
        <v>93</v>
      </c>
      <c r="O31" s="5"/>
      <c r="P31" s="5">
        <v>625507996.99000001</v>
      </c>
      <c r="Q31" s="21">
        <f t="shared" si="3"/>
        <v>0</v>
      </c>
      <c r="R31" s="11" t="s">
        <v>33</v>
      </c>
      <c r="S31" s="5">
        <v>887697.21</v>
      </c>
      <c r="T31" s="5">
        <v>570759603.29999995</v>
      </c>
      <c r="U31" s="19">
        <f t="shared" si="4"/>
        <v>0.1555290887560262</v>
      </c>
    </row>
    <row r="32" spans="1:21" ht="38.25" x14ac:dyDescent="0.25">
      <c r="A32" s="9" t="s">
        <v>34</v>
      </c>
      <c r="B32" s="10">
        <v>10931171.67</v>
      </c>
      <c r="C32" s="5">
        <v>1807616943.48</v>
      </c>
      <c r="D32" s="19">
        <f t="shared" si="1"/>
        <v>0.60472832529194231</v>
      </c>
      <c r="E32" s="4" t="s">
        <v>34</v>
      </c>
      <c r="F32" s="6">
        <v>6617807.6200000001</v>
      </c>
      <c r="G32" s="5">
        <v>1754858196.1600001</v>
      </c>
      <c r="H32" s="7">
        <f t="shared" si="0"/>
        <v>0.37711352600917608</v>
      </c>
      <c r="I32" s="11" t="s">
        <v>34</v>
      </c>
      <c r="J32" s="5">
        <v>4445977.43</v>
      </c>
      <c r="K32" s="5">
        <v>1822216790.5999999</v>
      </c>
      <c r="L32" s="20">
        <f t="shared" si="2"/>
        <v>0.24398729355007626</v>
      </c>
      <c r="M32" s="4"/>
      <c r="N32" s="11" t="s">
        <v>34</v>
      </c>
      <c r="O32" s="5">
        <v>7035161.5</v>
      </c>
      <c r="P32" s="5">
        <v>1756518555.6900001</v>
      </c>
      <c r="Q32" s="21">
        <f t="shared" si="3"/>
        <v>0.40051734592900046</v>
      </c>
      <c r="R32" s="11" t="s">
        <v>34</v>
      </c>
      <c r="S32" s="5">
        <v>12039504.48</v>
      </c>
      <c r="T32" s="5">
        <v>3775417969.21</v>
      </c>
      <c r="U32" s="19">
        <f t="shared" si="4"/>
        <v>0.31889196317300061</v>
      </c>
    </row>
    <row r="33" spans="1:21" ht="38.25" x14ac:dyDescent="0.25">
      <c r="A33" s="9" t="s">
        <v>35</v>
      </c>
      <c r="B33" s="10">
        <v>1087887157.01</v>
      </c>
      <c r="C33" s="5">
        <v>77479713170.360001</v>
      </c>
      <c r="D33" s="19">
        <f t="shared" si="1"/>
        <v>1.4040929070271431</v>
      </c>
      <c r="E33" s="4" t="s">
        <v>35</v>
      </c>
      <c r="F33" s="6">
        <v>861886275.42999995</v>
      </c>
      <c r="G33" s="5">
        <v>73613304821.990005</v>
      </c>
      <c r="H33" s="7">
        <f t="shared" si="0"/>
        <v>1.1708294818636298</v>
      </c>
      <c r="I33" s="11" t="s">
        <v>35</v>
      </c>
      <c r="J33" s="5">
        <v>257932433.53</v>
      </c>
      <c r="K33" s="5">
        <v>72003844657.279999</v>
      </c>
      <c r="L33" s="20">
        <f t="shared" si="2"/>
        <v>0.35822036275659008</v>
      </c>
      <c r="M33" s="4"/>
      <c r="N33" s="11" t="s">
        <v>35</v>
      </c>
      <c r="O33" s="5">
        <v>422937669.63</v>
      </c>
      <c r="P33" s="5">
        <v>68886383722.699997</v>
      </c>
      <c r="Q33" s="21">
        <f t="shared" si="3"/>
        <v>0.61396410549365243</v>
      </c>
      <c r="R33" s="11" t="s">
        <v>35</v>
      </c>
      <c r="S33" s="5">
        <v>603355338.37</v>
      </c>
      <c r="T33" s="5">
        <v>61181434006.879997</v>
      </c>
      <c r="U33" s="19">
        <f t="shared" si="4"/>
        <v>0.98617390743432276</v>
      </c>
    </row>
    <row r="34" spans="1:21" ht="38.25" x14ac:dyDescent="0.25">
      <c r="A34" s="9" t="s">
        <v>36</v>
      </c>
      <c r="B34" s="10">
        <v>268200447.25</v>
      </c>
      <c r="C34" s="5">
        <v>11841988193.309999</v>
      </c>
      <c r="D34" s="19">
        <f t="shared" si="1"/>
        <v>2.2648261666188527</v>
      </c>
      <c r="E34" s="4" t="s">
        <v>36</v>
      </c>
      <c r="F34" s="6">
        <v>154019097.97</v>
      </c>
      <c r="G34" s="5">
        <v>11653491380.559999</v>
      </c>
      <c r="H34" s="7">
        <f t="shared" si="0"/>
        <v>1.3216562568272885</v>
      </c>
      <c r="I34" s="11" t="s">
        <v>36</v>
      </c>
      <c r="J34" s="5">
        <v>51204933.829999998</v>
      </c>
      <c r="K34" s="5">
        <v>11797742216.040001</v>
      </c>
      <c r="L34" s="20">
        <f t="shared" si="2"/>
        <v>0.43402316216388148</v>
      </c>
      <c r="M34" s="4"/>
      <c r="N34" s="11" t="s">
        <v>36</v>
      </c>
      <c r="O34" s="5">
        <v>46695896.18</v>
      </c>
      <c r="P34" s="5">
        <v>11108118684.299999</v>
      </c>
      <c r="Q34" s="21">
        <f t="shared" si="3"/>
        <v>0.42037628069277905</v>
      </c>
      <c r="R34" s="11" t="s">
        <v>36</v>
      </c>
      <c r="S34" s="5">
        <v>70420245.560000002</v>
      </c>
      <c r="T34" s="5">
        <v>9653001604.5200005</v>
      </c>
      <c r="U34" s="19">
        <f t="shared" si="4"/>
        <v>0.72951656329390691</v>
      </c>
    </row>
    <row r="35" spans="1:21" ht="38.25" x14ac:dyDescent="0.25">
      <c r="A35" s="9" t="s">
        <v>37</v>
      </c>
      <c r="B35" s="10">
        <v>364877708.98000002</v>
      </c>
      <c r="C35" s="5">
        <v>29326722385.689999</v>
      </c>
      <c r="D35" s="19">
        <f t="shared" si="1"/>
        <v>1.2441816858403598</v>
      </c>
      <c r="E35" s="4" t="s">
        <v>37</v>
      </c>
      <c r="F35" s="6">
        <v>322026088.20999998</v>
      </c>
      <c r="G35" s="5">
        <v>27219053335.98</v>
      </c>
      <c r="H35" s="7">
        <f t="shared" si="0"/>
        <v>1.1830906983981104</v>
      </c>
      <c r="I35" s="11" t="s">
        <v>37</v>
      </c>
      <c r="J35" s="5">
        <v>72363881.450000003</v>
      </c>
      <c r="K35" s="5">
        <v>26133518986.25</v>
      </c>
      <c r="L35" s="20">
        <f t="shared" si="2"/>
        <v>0.27690064046894658</v>
      </c>
      <c r="M35" s="4"/>
      <c r="N35" s="11" t="s">
        <v>37</v>
      </c>
      <c r="O35" s="5">
        <v>81998830.140000001</v>
      </c>
      <c r="P35" s="5">
        <v>24186397543.880001</v>
      </c>
      <c r="Q35" s="21">
        <f t="shared" si="3"/>
        <v>0.33902870401114593</v>
      </c>
      <c r="R35" s="11" t="s">
        <v>37</v>
      </c>
      <c r="S35" s="5">
        <v>148124877.25</v>
      </c>
      <c r="T35" s="5">
        <v>22516143684.970001</v>
      </c>
      <c r="U35" s="19">
        <f t="shared" si="4"/>
        <v>0.65786077457338521</v>
      </c>
    </row>
    <row r="36" spans="1:21" ht="38.25" x14ac:dyDescent="0.25">
      <c r="A36" s="9" t="s">
        <v>38</v>
      </c>
      <c r="B36" s="10">
        <v>381654582.98000002</v>
      </c>
      <c r="C36" s="5">
        <v>54530514311.209999</v>
      </c>
      <c r="D36" s="19">
        <f t="shared" si="1"/>
        <v>0.69989177215873455</v>
      </c>
      <c r="E36" s="4" t="s">
        <v>38</v>
      </c>
      <c r="F36" s="6">
        <v>273687163.32999998</v>
      </c>
      <c r="G36" s="5">
        <v>49720168144.690002</v>
      </c>
      <c r="H36" s="7">
        <f t="shared" si="0"/>
        <v>0.55045502367077004</v>
      </c>
      <c r="I36" s="11" t="s">
        <v>38</v>
      </c>
      <c r="J36" s="5">
        <v>142537927.19999999</v>
      </c>
      <c r="K36" s="5">
        <v>48861502671.5</v>
      </c>
      <c r="L36" s="20">
        <f t="shared" si="2"/>
        <v>0.29171826367742815</v>
      </c>
      <c r="M36" s="4"/>
      <c r="N36" s="11" t="s">
        <v>38</v>
      </c>
      <c r="O36" s="5">
        <v>166202486.91</v>
      </c>
      <c r="P36" s="5">
        <v>45130537397.449997</v>
      </c>
      <c r="Q36" s="21">
        <f t="shared" si="3"/>
        <v>0.36827056909672629</v>
      </c>
      <c r="R36" s="11" t="s">
        <v>38</v>
      </c>
      <c r="S36" s="5">
        <v>443493752.88999999</v>
      </c>
      <c r="T36" s="5">
        <v>41605196363.739998</v>
      </c>
      <c r="U36" s="19">
        <f t="shared" si="4"/>
        <v>1.0659576006148026</v>
      </c>
    </row>
    <row r="37" spans="1:21" ht="51" x14ac:dyDescent="0.25">
      <c r="A37" s="9" t="s">
        <v>41</v>
      </c>
      <c r="B37" s="10">
        <v>63523159.82</v>
      </c>
      <c r="C37" s="5">
        <v>3680763370.8699999</v>
      </c>
      <c r="D37" s="19">
        <f t="shared" ref="D37:D64" si="5">B37*100/C37</f>
        <v>1.7258148220754927</v>
      </c>
      <c r="E37" s="4" t="s">
        <v>41</v>
      </c>
      <c r="F37" s="6">
        <v>36637245.009999998</v>
      </c>
      <c r="G37" s="5">
        <v>3549375416.7199998</v>
      </c>
      <c r="H37" s="7">
        <f t="shared" si="0"/>
        <v>1.0322166778248751</v>
      </c>
      <c r="I37" s="11" t="s">
        <v>41</v>
      </c>
      <c r="J37" s="5">
        <v>21190694.460000001</v>
      </c>
      <c r="K37" s="5">
        <v>3442166084.9200001</v>
      </c>
      <c r="L37" s="20">
        <f t="shared" si="2"/>
        <v>0.61562091825945398</v>
      </c>
      <c r="M37" s="4"/>
      <c r="N37" s="11" t="s">
        <v>41</v>
      </c>
      <c r="O37" s="5">
        <v>21211571.030000001</v>
      </c>
      <c r="P37" s="5">
        <v>3296569641.4699998</v>
      </c>
      <c r="Q37" s="21">
        <f t="shared" si="3"/>
        <v>0.64344374112907798</v>
      </c>
      <c r="R37" s="11" t="s">
        <v>41</v>
      </c>
      <c r="S37" s="5">
        <v>30282505.030000001</v>
      </c>
      <c r="T37" s="5">
        <v>2723549418.2399998</v>
      </c>
      <c r="U37" s="19">
        <f t="shared" si="4"/>
        <v>1.111876466319786</v>
      </c>
    </row>
    <row r="38" spans="1:21" ht="38.25" x14ac:dyDescent="0.25">
      <c r="A38" s="9" t="s">
        <v>42</v>
      </c>
      <c r="B38" s="10">
        <v>81667982.349999994</v>
      </c>
      <c r="C38" s="5">
        <v>12193770977.77</v>
      </c>
      <c r="D38" s="19">
        <f t="shared" si="5"/>
        <v>0.6697516502391736</v>
      </c>
      <c r="E38" s="4" t="s">
        <v>42</v>
      </c>
      <c r="F38" s="6">
        <v>47255082.259999998</v>
      </c>
      <c r="G38" s="5">
        <v>11483345139.93</v>
      </c>
      <c r="H38" s="7">
        <f t="shared" si="0"/>
        <v>0.41150972721079476</v>
      </c>
      <c r="I38" s="11" t="s">
        <v>42</v>
      </c>
      <c r="J38" s="5">
        <v>34363600.460000001</v>
      </c>
      <c r="K38" s="5">
        <v>11670247814.23</v>
      </c>
      <c r="L38" s="20">
        <f t="shared" si="2"/>
        <v>0.29445476228961553</v>
      </c>
      <c r="M38" s="4"/>
      <c r="N38" s="11" t="s">
        <v>42</v>
      </c>
      <c r="O38" s="5">
        <v>13386570.73</v>
      </c>
      <c r="P38" s="5">
        <v>10993200581.02</v>
      </c>
      <c r="Q38" s="21">
        <f t="shared" si="3"/>
        <v>0.12177136795913836</v>
      </c>
      <c r="R38" s="11" t="s">
        <v>42</v>
      </c>
      <c r="S38" s="5">
        <v>34276605.479999997</v>
      </c>
      <c r="T38" s="5">
        <v>8820897904.5</v>
      </c>
      <c r="U38" s="19">
        <f t="shared" si="4"/>
        <v>0.38858408578239761</v>
      </c>
    </row>
    <row r="39" spans="1:21" ht="51" x14ac:dyDescent="0.25">
      <c r="A39" s="9" t="s">
        <v>43</v>
      </c>
      <c r="B39" s="10">
        <v>46957909.090000004</v>
      </c>
      <c r="C39" s="5">
        <v>4975140288.4200001</v>
      </c>
      <c r="D39" s="19">
        <f t="shared" si="5"/>
        <v>0.94385095429967958</v>
      </c>
      <c r="E39" s="4" t="s">
        <v>43</v>
      </c>
      <c r="F39" s="6">
        <v>26991186.030000001</v>
      </c>
      <c r="G39" s="5">
        <v>4736870370.3400002</v>
      </c>
      <c r="H39" s="7">
        <f t="shared" si="0"/>
        <v>0.5698105271996845</v>
      </c>
      <c r="I39" s="11" t="s">
        <v>43</v>
      </c>
      <c r="J39" s="5">
        <v>16737290.57</v>
      </c>
      <c r="K39" s="5">
        <v>4748696622.2299995</v>
      </c>
      <c r="L39" s="20">
        <f t="shared" si="2"/>
        <v>0.35246072557358121</v>
      </c>
      <c r="M39" s="4"/>
      <c r="N39" s="11" t="s">
        <v>43</v>
      </c>
      <c r="O39" s="5">
        <v>24752593</v>
      </c>
      <c r="P39" s="5">
        <v>4453227737.7399998</v>
      </c>
      <c r="Q39" s="21">
        <f t="shared" si="3"/>
        <v>0.55583487882795479</v>
      </c>
      <c r="R39" s="11" t="s">
        <v>43</v>
      </c>
      <c r="S39" s="5">
        <v>29732348.449999999</v>
      </c>
      <c r="T39" s="5">
        <v>4310715005.0299997</v>
      </c>
      <c r="U39" s="19">
        <f t="shared" si="4"/>
        <v>0.68973124911543726</v>
      </c>
    </row>
    <row r="40" spans="1:21" ht="63.75" x14ac:dyDescent="0.25">
      <c r="A40" s="9" t="s">
        <v>44</v>
      </c>
      <c r="B40" s="10">
        <v>24277851.329999998</v>
      </c>
      <c r="C40" s="5">
        <v>5769880735.1099997</v>
      </c>
      <c r="D40" s="19">
        <f t="shared" si="5"/>
        <v>0.42076868560329361</v>
      </c>
      <c r="E40" s="4" t="s">
        <v>44</v>
      </c>
      <c r="F40" s="6">
        <v>18103411.579999998</v>
      </c>
      <c r="G40" s="5">
        <v>5475525474.25</v>
      </c>
      <c r="H40" s="7">
        <f t="shared" si="0"/>
        <v>0.3306241869412484</v>
      </c>
      <c r="I40" s="11" t="s">
        <v>44</v>
      </c>
      <c r="J40" s="5">
        <v>15223273.43</v>
      </c>
      <c r="K40" s="5">
        <v>5514198226.4099998</v>
      </c>
      <c r="L40" s="20">
        <f t="shared" si="2"/>
        <v>0.27607410551707823</v>
      </c>
      <c r="M40" s="4"/>
      <c r="N40" s="11" t="s">
        <v>44</v>
      </c>
      <c r="O40" s="5">
        <v>13673379.9</v>
      </c>
      <c r="P40" s="5">
        <v>5285248735.4799995</v>
      </c>
      <c r="Q40" s="21">
        <f t="shared" si="3"/>
        <v>0.25870835194964958</v>
      </c>
      <c r="R40" s="11" t="s">
        <v>44</v>
      </c>
      <c r="S40" s="5">
        <v>23697044.469999999</v>
      </c>
      <c r="T40" s="5">
        <v>4578533587.6899996</v>
      </c>
      <c r="U40" s="19">
        <f t="shared" si="4"/>
        <v>0.51756843137970365</v>
      </c>
    </row>
    <row r="41" spans="1:21" ht="38.25" x14ac:dyDescent="0.25">
      <c r="A41" s="9" t="s">
        <v>45</v>
      </c>
      <c r="B41" s="10">
        <v>15662912.85</v>
      </c>
      <c r="C41" s="5">
        <v>2028300910.6500001</v>
      </c>
      <c r="D41" s="19">
        <f t="shared" si="5"/>
        <v>0.77221840052226665</v>
      </c>
      <c r="E41" s="4" t="s">
        <v>45</v>
      </c>
      <c r="F41" s="6">
        <v>9868183.7599999998</v>
      </c>
      <c r="G41" s="5">
        <v>1965538018.1900001</v>
      </c>
      <c r="H41" s="7">
        <f t="shared" si="0"/>
        <v>0.50206018243734041</v>
      </c>
      <c r="I41" s="11" t="s">
        <v>45</v>
      </c>
      <c r="J41" s="5">
        <v>254942</v>
      </c>
      <c r="K41" s="5">
        <v>1896750908.8499999</v>
      </c>
      <c r="L41" s="20">
        <f t="shared" si="2"/>
        <v>1.3440984728699633E-2</v>
      </c>
      <c r="M41" s="4"/>
      <c r="N41" s="11" t="s">
        <v>45</v>
      </c>
      <c r="O41" s="5">
        <v>12030161</v>
      </c>
      <c r="P41" s="5">
        <v>1729022597.71</v>
      </c>
      <c r="Q41" s="21">
        <f t="shared" si="3"/>
        <v>0.69577812435380071</v>
      </c>
      <c r="R41" s="11" t="s">
        <v>45</v>
      </c>
      <c r="S41" s="5">
        <v>9292175.5299999993</v>
      </c>
      <c r="T41" s="5">
        <v>1375902897.79</v>
      </c>
      <c r="U41" s="19">
        <f t="shared" si="4"/>
        <v>0.67535111270753612</v>
      </c>
    </row>
    <row r="42" spans="1:21" ht="38.25" x14ac:dyDescent="0.25">
      <c r="A42" s="9" t="s">
        <v>46</v>
      </c>
      <c r="B42" s="10">
        <v>128622907.34</v>
      </c>
      <c r="C42" s="5">
        <v>26140614977.48</v>
      </c>
      <c r="D42" s="19">
        <f t="shared" si="5"/>
        <v>0.49204239246401799</v>
      </c>
      <c r="E42" s="4" t="s">
        <v>46</v>
      </c>
      <c r="F42" s="6">
        <v>69409032.870000005</v>
      </c>
      <c r="G42" s="5">
        <v>24739977708.75</v>
      </c>
      <c r="H42" s="7">
        <f t="shared" si="0"/>
        <v>0.28055414474141388</v>
      </c>
      <c r="I42" s="11" t="s">
        <v>46</v>
      </c>
      <c r="J42" s="5">
        <v>51366196.460000001</v>
      </c>
      <c r="K42" s="5">
        <v>24202442221.509998</v>
      </c>
      <c r="L42" s="20">
        <f t="shared" si="2"/>
        <v>0.21223559172201278</v>
      </c>
      <c r="M42" s="4"/>
      <c r="N42" s="11" t="s">
        <v>46</v>
      </c>
      <c r="O42" s="5">
        <v>68975779.5</v>
      </c>
      <c r="P42" s="5">
        <v>22856134234.619999</v>
      </c>
      <c r="Q42" s="21">
        <f t="shared" si="3"/>
        <v>0.30178235213338461</v>
      </c>
      <c r="R42" s="11" t="s">
        <v>46</v>
      </c>
      <c r="S42" s="5">
        <v>199700955.77000001</v>
      </c>
      <c r="T42" s="5">
        <v>19899719287.889999</v>
      </c>
      <c r="U42" s="19">
        <f t="shared" si="4"/>
        <v>1.0035365468272122</v>
      </c>
    </row>
    <row r="43" spans="1:21" ht="51" x14ac:dyDescent="0.25">
      <c r="A43" s="9" t="s">
        <v>47</v>
      </c>
      <c r="B43" s="10">
        <v>45579133.600000001</v>
      </c>
      <c r="C43" s="5">
        <v>3454275427</v>
      </c>
      <c r="D43" s="19">
        <f t="shared" si="5"/>
        <v>1.3194991124255826</v>
      </c>
      <c r="E43" s="4" t="s">
        <v>47</v>
      </c>
      <c r="F43" s="6">
        <v>28598310.789999999</v>
      </c>
      <c r="G43" s="5">
        <v>2974776945.27</v>
      </c>
      <c r="H43" s="7">
        <f t="shared" si="0"/>
        <v>0.9613598369273475</v>
      </c>
      <c r="I43" s="11" t="s">
        <v>47</v>
      </c>
      <c r="J43" s="5">
        <v>18534687.050000001</v>
      </c>
      <c r="K43" s="5">
        <v>2981474584.7800002</v>
      </c>
      <c r="L43" s="20">
        <f t="shared" si="2"/>
        <v>0.62166174900892723</v>
      </c>
      <c r="M43" s="4"/>
      <c r="N43" s="11" t="s">
        <v>47</v>
      </c>
      <c r="O43" s="5">
        <v>29038498.210000001</v>
      </c>
      <c r="P43" s="5">
        <v>2824544413</v>
      </c>
      <c r="Q43" s="21">
        <f t="shared" si="3"/>
        <v>1.0280772388053081</v>
      </c>
      <c r="R43" s="11" t="s">
        <v>47</v>
      </c>
      <c r="S43" s="5">
        <v>12253647.98</v>
      </c>
      <c r="T43" s="5">
        <v>2380506073.1500001</v>
      </c>
      <c r="U43" s="19">
        <f t="shared" si="4"/>
        <v>0.51474970461996694</v>
      </c>
    </row>
    <row r="44" spans="1:21" ht="25.5" x14ac:dyDescent="0.25">
      <c r="A44" s="9" t="s">
        <v>48</v>
      </c>
      <c r="B44" s="10">
        <v>9103869.9399999995</v>
      </c>
      <c r="C44" s="5">
        <v>8961149432.8500004</v>
      </c>
      <c r="D44" s="19">
        <f t="shared" si="5"/>
        <v>0.10159265848895245</v>
      </c>
      <c r="E44" s="4" t="s">
        <v>48</v>
      </c>
      <c r="F44" s="6">
        <v>2544996.4900000002</v>
      </c>
      <c r="G44" s="5">
        <v>8391948613.6800003</v>
      </c>
      <c r="H44" s="7">
        <f t="shared" si="0"/>
        <v>3.0326645302037658E-2</v>
      </c>
      <c r="I44" s="11" t="s">
        <v>48</v>
      </c>
      <c r="J44" s="5">
        <v>4313322.08</v>
      </c>
      <c r="K44" s="5">
        <v>8597245548.5</v>
      </c>
      <c r="L44" s="20">
        <f t="shared" si="2"/>
        <v>5.0170976921236878E-2</v>
      </c>
      <c r="M44" s="4"/>
      <c r="N44" s="11" t="s">
        <v>48</v>
      </c>
      <c r="O44" s="5">
        <v>3263733</v>
      </c>
      <c r="P44" s="5">
        <v>7917748889.3000002</v>
      </c>
      <c r="Q44" s="21">
        <f t="shared" si="3"/>
        <v>4.1220466140453001E-2</v>
      </c>
      <c r="R44" s="11" t="s">
        <v>48</v>
      </c>
      <c r="S44" s="5">
        <v>16826103.32</v>
      </c>
      <c r="T44" s="5">
        <v>7128122635.9099998</v>
      </c>
      <c r="U44" s="19">
        <f t="shared" si="4"/>
        <v>0.23605238264607836</v>
      </c>
    </row>
    <row r="45" spans="1:21" ht="38.25" x14ac:dyDescent="0.25">
      <c r="A45" s="9" t="s">
        <v>49</v>
      </c>
      <c r="B45" s="10">
        <v>435704296.99000001</v>
      </c>
      <c r="C45" s="5">
        <v>47800164550.839996</v>
      </c>
      <c r="D45" s="19">
        <f t="shared" si="5"/>
        <v>0.91151212780154189</v>
      </c>
      <c r="E45" s="4" t="s">
        <v>49</v>
      </c>
      <c r="F45" s="6">
        <v>416501749.01999998</v>
      </c>
      <c r="G45" s="5">
        <v>45293561405.889999</v>
      </c>
      <c r="H45" s="7">
        <f t="shared" si="0"/>
        <v>0.91956060881942014</v>
      </c>
      <c r="I45" s="11" t="s">
        <v>49</v>
      </c>
      <c r="J45" s="5">
        <v>93056150.030000001</v>
      </c>
      <c r="K45" s="5">
        <v>44419334027.209999</v>
      </c>
      <c r="L45" s="20">
        <f t="shared" si="2"/>
        <v>0.20949469880164456</v>
      </c>
      <c r="M45" s="4"/>
      <c r="N45" s="11" t="s">
        <v>49</v>
      </c>
      <c r="O45" s="5">
        <v>120157273.33</v>
      </c>
      <c r="P45" s="5">
        <v>41707395477.660004</v>
      </c>
      <c r="Q45" s="21">
        <f t="shared" si="3"/>
        <v>0.28809584476297639</v>
      </c>
      <c r="R45" s="11" t="s">
        <v>49</v>
      </c>
      <c r="S45" s="5">
        <v>271514587.23000002</v>
      </c>
      <c r="T45" s="5">
        <v>37789644544.709999</v>
      </c>
      <c r="U45" s="19">
        <f t="shared" si="4"/>
        <v>0.71848939174001336</v>
      </c>
    </row>
    <row r="46" spans="1:21" ht="38.25" x14ac:dyDescent="0.25">
      <c r="A46" s="9" t="s">
        <v>50</v>
      </c>
      <c r="B46" s="10">
        <v>4246001.5</v>
      </c>
      <c r="C46" s="5">
        <v>7256172370.8900003</v>
      </c>
      <c r="D46" s="19">
        <f t="shared" si="5"/>
        <v>5.85157198998459E-2</v>
      </c>
      <c r="E46" s="4" t="s">
        <v>50</v>
      </c>
      <c r="F46" s="6">
        <v>3234131.05</v>
      </c>
      <c r="G46" s="5">
        <v>7134081652.4499998</v>
      </c>
      <c r="H46" s="7">
        <f t="shared" si="0"/>
        <v>4.5333530054135679E-2</v>
      </c>
      <c r="I46" s="11" t="s">
        <v>50</v>
      </c>
      <c r="J46" s="5">
        <v>1806970.47</v>
      </c>
      <c r="K46" s="5">
        <v>6703319898.46</v>
      </c>
      <c r="L46" s="20">
        <f t="shared" si="2"/>
        <v>2.6956351440353125E-2</v>
      </c>
      <c r="M46" s="4"/>
      <c r="N46" s="11" t="s">
        <v>50</v>
      </c>
      <c r="O46" s="5">
        <v>2292153.98</v>
      </c>
      <c r="P46" s="5">
        <v>6357270233.9700003</v>
      </c>
      <c r="Q46" s="21">
        <f t="shared" si="3"/>
        <v>3.605563230192578E-2</v>
      </c>
      <c r="R46" s="11" t="s">
        <v>50</v>
      </c>
      <c r="S46" s="5">
        <v>34360308.32</v>
      </c>
      <c r="T46" s="5">
        <v>5432881712.3500004</v>
      </c>
      <c r="U46" s="19">
        <f t="shared" si="4"/>
        <v>0.63245088222503199</v>
      </c>
    </row>
    <row r="47" spans="1:21" ht="38.25" x14ac:dyDescent="0.25">
      <c r="A47" s="9" t="s">
        <v>51</v>
      </c>
      <c r="B47" s="10">
        <v>64054255.689999998</v>
      </c>
      <c r="C47" s="5">
        <v>9306777662.7700005</v>
      </c>
      <c r="D47" s="19">
        <f t="shared" si="5"/>
        <v>0.68825385123614702</v>
      </c>
      <c r="E47" s="4" t="s">
        <v>51</v>
      </c>
      <c r="F47" s="6">
        <v>43532781.969999999</v>
      </c>
      <c r="G47" s="5">
        <v>9479005757.2099991</v>
      </c>
      <c r="H47" s="7">
        <f t="shared" si="0"/>
        <v>0.45925472655070115</v>
      </c>
      <c r="I47" s="11" t="s">
        <v>51</v>
      </c>
      <c r="J47" s="5">
        <v>10450823.66</v>
      </c>
      <c r="K47" s="5">
        <v>7760314396.4799995</v>
      </c>
      <c r="L47" s="20">
        <f t="shared" si="2"/>
        <v>0.13467010646811409</v>
      </c>
      <c r="M47" s="4"/>
      <c r="N47" s="11" t="s">
        <v>51</v>
      </c>
      <c r="O47" s="5">
        <v>16502580.439999999</v>
      </c>
      <c r="P47" s="5">
        <v>7362737879.5</v>
      </c>
      <c r="Q47" s="21">
        <f t="shared" si="3"/>
        <v>0.22413646540301232</v>
      </c>
      <c r="R47" s="11" t="s">
        <v>51</v>
      </c>
      <c r="S47" s="5">
        <v>49845144.68</v>
      </c>
      <c r="T47" s="5">
        <v>6505357360.9099998</v>
      </c>
      <c r="U47" s="19">
        <f t="shared" si="4"/>
        <v>0.7662168565790739</v>
      </c>
    </row>
    <row r="48" spans="1:21" ht="51" x14ac:dyDescent="0.25">
      <c r="A48" s="9" t="s">
        <v>52</v>
      </c>
      <c r="B48" s="10">
        <v>601726049.54999995</v>
      </c>
      <c r="C48" s="5">
        <v>64410493373.730003</v>
      </c>
      <c r="D48" s="19">
        <f t="shared" si="5"/>
        <v>0.93420499988813244</v>
      </c>
      <c r="E48" s="4" t="s">
        <v>52</v>
      </c>
      <c r="F48" s="6">
        <v>479414455.83999997</v>
      </c>
      <c r="G48" s="5">
        <v>57917765063.529999</v>
      </c>
      <c r="H48" s="7">
        <f t="shared" si="0"/>
        <v>0.82775026853009648</v>
      </c>
      <c r="I48" s="11" t="s">
        <v>52</v>
      </c>
      <c r="J48" s="5">
        <v>133089177.45999999</v>
      </c>
      <c r="K48" s="5">
        <v>55140028126.900002</v>
      </c>
      <c r="L48" s="20">
        <f t="shared" si="2"/>
        <v>0.24136581351338229</v>
      </c>
      <c r="M48" s="4"/>
      <c r="N48" s="11" t="s">
        <v>52</v>
      </c>
      <c r="O48" s="5">
        <v>128325828.86</v>
      </c>
      <c r="P48" s="5">
        <v>51327889355.75</v>
      </c>
      <c r="Q48" s="21">
        <f t="shared" si="3"/>
        <v>0.25001189503543131</v>
      </c>
      <c r="R48" s="11" t="s">
        <v>52</v>
      </c>
      <c r="S48" s="5">
        <v>207737435.41</v>
      </c>
      <c r="T48" s="5">
        <v>46443216556.519997</v>
      </c>
      <c r="U48" s="19">
        <f t="shared" si="4"/>
        <v>0.44729338493855136</v>
      </c>
    </row>
    <row r="49" spans="1:21" ht="38.25" x14ac:dyDescent="0.25">
      <c r="A49" s="9" t="s">
        <v>53</v>
      </c>
      <c r="B49" s="10">
        <v>99352639.5</v>
      </c>
      <c r="C49" s="5">
        <v>20836594744.279999</v>
      </c>
      <c r="D49" s="19">
        <f t="shared" si="5"/>
        <v>0.47681802482276525</v>
      </c>
      <c r="E49" s="4" t="s">
        <v>53</v>
      </c>
      <c r="F49" s="6">
        <v>52579057.420000002</v>
      </c>
      <c r="G49" s="5">
        <v>19401934642.34</v>
      </c>
      <c r="H49" s="7">
        <f t="shared" si="0"/>
        <v>0.27099904411212172</v>
      </c>
      <c r="I49" s="11" t="s">
        <v>53</v>
      </c>
      <c r="J49" s="5">
        <v>21322869.010000002</v>
      </c>
      <c r="K49" s="5">
        <v>19008618722.5</v>
      </c>
      <c r="L49" s="20">
        <f t="shared" si="2"/>
        <v>0.11217474200143057</v>
      </c>
      <c r="M49" s="4"/>
      <c r="N49" s="11" t="s">
        <v>53</v>
      </c>
      <c r="O49" s="5">
        <v>28481354.57</v>
      </c>
      <c r="P49" s="5">
        <v>17690580147.139999</v>
      </c>
      <c r="Q49" s="21">
        <f t="shared" si="3"/>
        <v>0.16099728970507801</v>
      </c>
      <c r="R49" s="11" t="s">
        <v>53</v>
      </c>
      <c r="S49" s="5">
        <v>148600607.25</v>
      </c>
      <c r="T49" s="5">
        <v>15333937773.370001</v>
      </c>
      <c r="U49" s="19">
        <f t="shared" si="4"/>
        <v>0.96909619333443697</v>
      </c>
    </row>
    <row r="50" spans="1:21" ht="51" x14ac:dyDescent="0.25">
      <c r="A50" s="9" t="s">
        <v>54</v>
      </c>
      <c r="B50" s="10">
        <v>17921453.309999999</v>
      </c>
      <c r="C50" s="5">
        <v>11163474821.559999</v>
      </c>
      <c r="D50" s="19">
        <f t="shared" si="5"/>
        <v>0.16053651391221241</v>
      </c>
      <c r="E50" s="4" t="s">
        <v>54</v>
      </c>
      <c r="F50" s="6">
        <v>10637472.73</v>
      </c>
      <c r="G50" s="5">
        <v>10619062127.84</v>
      </c>
      <c r="H50" s="7">
        <f t="shared" si="0"/>
        <v>0.10017337314668998</v>
      </c>
      <c r="I50" s="11" t="s">
        <v>54</v>
      </c>
      <c r="J50" s="5">
        <v>3794417.2</v>
      </c>
      <c r="K50" s="5">
        <v>10853325772.459999</v>
      </c>
      <c r="L50" s="20">
        <f t="shared" si="2"/>
        <v>3.4960870792510659E-2</v>
      </c>
      <c r="M50" s="4"/>
      <c r="N50" s="11" t="s">
        <v>54</v>
      </c>
      <c r="O50" s="5">
        <v>4775045.91</v>
      </c>
      <c r="P50" s="5">
        <v>10134799647.66</v>
      </c>
      <c r="Q50" s="21">
        <f t="shared" si="3"/>
        <v>4.7115345897365608E-2</v>
      </c>
      <c r="R50" s="11" t="s">
        <v>54</v>
      </c>
      <c r="S50" s="5">
        <v>68417981.359999999</v>
      </c>
      <c r="T50" s="5">
        <v>9236768675.6000004</v>
      </c>
      <c r="U50" s="19">
        <f t="shared" si="4"/>
        <v>0.74071337891934075</v>
      </c>
    </row>
    <row r="51" spans="1:21" ht="38.25" x14ac:dyDescent="0.25">
      <c r="A51" s="9" t="s">
        <v>55</v>
      </c>
      <c r="B51" s="10">
        <v>400055555.06999999</v>
      </c>
      <c r="C51" s="5">
        <v>55439010199.760002</v>
      </c>
      <c r="D51" s="19">
        <f t="shared" si="5"/>
        <v>0.72161381241927702</v>
      </c>
      <c r="E51" s="4" t="s">
        <v>55</v>
      </c>
      <c r="F51" s="6">
        <v>298282674.79000002</v>
      </c>
      <c r="G51" s="5">
        <v>51602860063.730003</v>
      </c>
      <c r="H51" s="7">
        <f t="shared" si="0"/>
        <v>0.5780351601086029</v>
      </c>
      <c r="I51" s="11" t="s">
        <v>55</v>
      </c>
      <c r="J51" s="5">
        <v>81618475.280000001</v>
      </c>
      <c r="K51" s="5">
        <v>50916664781.519997</v>
      </c>
      <c r="L51" s="20">
        <f t="shared" si="2"/>
        <v>0.16029815705765377</v>
      </c>
      <c r="M51" s="4"/>
      <c r="N51" s="11" t="s">
        <v>55</v>
      </c>
      <c r="O51" s="5">
        <v>75370852.230000004</v>
      </c>
      <c r="P51" s="5">
        <v>47592238953.120003</v>
      </c>
      <c r="Q51" s="21">
        <f t="shared" si="3"/>
        <v>0.15836794798463441</v>
      </c>
      <c r="R51" s="11" t="s">
        <v>55</v>
      </c>
      <c r="S51" s="5">
        <v>516105037.35000002</v>
      </c>
      <c r="T51" s="5">
        <v>42279420067.489998</v>
      </c>
      <c r="U51" s="19">
        <f t="shared" si="4"/>
        <v>1.2207003703602115</v>
      </c>
    </row>
    <row r="52" spans="1:21" ht="38.25" x14ac:dyDescent="0.25">
      <c r="A52" s="9" t="s">
        <v>56</v>
      </c>
      <c r="B52" s="10">
        <v>17628467</v>
      </c>
      <c r="C52" s="5">
        <v>14708583705.790001</v>
      </c>
      <c r="D52" s="19">
        <f t="shared" si="5"/>
        <v>0.11985155982802473</v>
      </c>
      <c r="E52" s="4" t="s">
        <v>56</v>
      </c>
      <c r="F52" s="6">
        <v>12958596.75</v>
      </c>
      <c r="G52" s="5">
        <v>13989082412.139999</v>
      </c>
      <c r="H52" s="7">
        <f t="shared" si="0"/>
        <v>9.2633643638801333E-2</v>
      </c>
      <c r="I52" s="11" t="s">
        <v>56</v>
      </c>
      <c r="J52" s="5">
        <v>6518136.5899999999</v>
      </c>
      <c r="K52" s="5">
        <v>13781998279.66</v>
      </c>
      <c r="L52" s="20">
        <f t="shared" si="2"/>
        <v>4.7294568303783022E-2</v>
      </c>
      <c r="M52" s="4"/>
      <c r="N52" s="11" t="s">
        <v>56</v>
      </c>
      <c r="O52" s="5">
        <v>9271323</v>
      </c>
      <c r="P52" s="5">
        <v>13134419351.059999</v>
      </c>
      <c r="Q52" s="21">
        <f t="shared" si="3"/>
        <v>7.0587992907747144E-2</v>
      </c>
      <c r="R52" s="11" t="s">
        <v>56</v>
      </c>
      <c r="S52" s="5">
        <v>172207729.81999999</v>
      </c>
      <c r="T52" s="5">
        <v>11670592781.42</v>
      </c>
      <c r="U52" s="19">
        <f t="shared" si="4"/>
        <v>1.4755696908057734</v>
      </c>
    </row>
    <row r="53" spans="1:21" ht="38.25" x14ac:dyDescent="0.25">
      <c r="A53" s="9" t="s">
        <v>57</v>
      </c>
      <c r="B53" s="10">
        <v>598292644.33000004</v>
      </c>
      <c r="C53" s="5">
        <v>52076237194.379997</v>
      </c>
      <c r="D53" s="19">
        <f t="shared" si="5"/>
        <v>1.1488784070492848</v>
      </c>
      <c r="E53" s="4" t="s">
        <v>57</v>
      </c>
      <c r="F53" s="6">
        <v>629429334.65999997</v>
      </c>
      <c r="G53" s="5">
        <v>49317746339.879997</v>
      </c>
      <c r="H53" s="7">
        <f t="shared" si="0"/>
        <v>1.2762735148565014</v>
      </c>
      <c r="I53" s="11" t="s">
        <v>57</v>
      </c>
      <c r="J53" s="5">
        <v>201039497.37</v>
      </c>
      <c r="K53" s="5">
        <v>50681219412.919998</v>
      </c>
      <c r="L53" s="20">
        <f t="shared" si="2"/>
        <v>0.3966745467034869</v>
      </c>
      <c r="M53" s="4"/>
      <c r="N53" s="11" t="s">
        <v>57</v>
      </c>
      <c r="O53" s="5">
        <v>187325338.06999999</v>
      </c>
      <c r="P53" s="5">
        <v>45400700297.860001</v>
      </c>
      <c r="Q53" s="21">
        <f t="shared" si="3"/>
        <v>0.41260451235557205</v>
      </c>
      <c r="R53" s="11" t="s">
        <v>57</v>
      </c>
      <c r="S53" s="5">
        <v>162830543.72999999</v>
      </c>
      <c r="T53" s="5">
        <v>40576669486.010002</v>
      </c>
      <c r="U53" s="19">
        <f t="shared" si="4"/>
        <v>0.40129105171172463</v>
      </c>
    </row>
    <row r="54" spans="1:21" ht="38.25" x14ac:dyDescent="0.25">
      <c r="A54" s="9" t="s">
        <v>58</v>
      </c>
      <c r="B54" s="10">
        <v>228737025.5</v>
      </c>
      <c r="C54" s="5">
        <v>24205661643.700001</v>
      </c>
      <c r="D54" s="19">
        <f t="shared" si="5"/>
        <v>0.94497324166114383</v>
      </c>
      <c r="E54" s="4" t="s">
        <v>58</v>
      </c>
      <c r="F54" s="6">
        <v>210082836.02000001</v>
      </c>
      <c r="G54" s="5">
        <v>23253709803.630001</v>
      </c>
      <c r="H54" s="7">
        <f t="shared" si="0"/>
        <v>0.90343793654466775</v>
      </c>
      <c r="I54" s="11" t="s">
        <v>58</v>
      </c>
      <c r="J54" s="5">
        <v>62747586.049999997</v>
      </c>
      <c r="K54" s="5">
        <v>22204367206.18</v>
      </c>
      <c r="L54" s="20">
        <f t="shared" si="2"/>
        <v>0.28259119238730596</v>
      </c>
      <c r="M54" s="4"/>
      <c r="N54" s="11" t="s">
        <v>58</v>
      </c>
      <c r="O54" s="5">
        <v>67542324.920000002</v>
      </c>
      <c r="P54" s="5">
        <v>21027384910.290001</v>
      </c>
      <c r="Q54" s="21">
        <f t="shared" si="3"/>
        <v>0.32121124527923278</v>
      </c>
      <c r="R54" s="11" t="s">
        <v>58</v>
      </c>
      <c r="S54" s="5">
        <v>117786501.59999999</v>
      </c>
      <c r="T54" s="5">
        <v>19637654050.009998</v>
      </c>
      <c r="U54" s="19">
        <f t="shared" si="4"/>
        <v>0.59979924944211971</v>
      </c>
    </row>
    <row r="55" spans="1:21" ht="38.25" x14ac:dyDescent="0.25">
      <c r="A55" s="9" t="s">
        <v>59</v>
      </c>
      <c r="B55" s="10">
        <v>91115687.840000004</v>
      </c>
      <c r="C55" s="5">
        <v>13111419236.1</v>
      </c>
      <c r="D55" s="19">
        <f t="shared" si="5"/>
        <v>0.69493382981095508</v>
      </c>
      <c r="E55" s="4" t="s">
        <v>59</v>
      </c>
      <c r="F55" s="6">
        <v>49575062.109999999</v>
      </c>
      <c r="G55" s="5">
        <v>12454715441.26</v>
      </c>
      <c r="H55" s="7">
        <f t="shared" si="0"/>
        <v>0.39804251123849571</v>
      </c>
      <c r="I55" s="11" t="s">
        <v>59</v>
      </c>
      <c r="J55" s="5">
        <v>24652054.829999998</v>
      </c>
      <c r="K55" s="5">
        <v>12416348546.549999</v>
      </c>
      <c r="L55" s="20">
        <f t="shared" si="2"/>
        <v>0.19854512570726607</v>
      </c>
      <c r="M55" s="4"/>
      <c r="N55" s="11" t="s">
        <v>59</v>
      </c>
      <c r="O55" s="5">
        <v>33572569.509999998</v>
      </c>
      <c r="P55" s="5">
        <v>11831663741.129999</v>
      </c>
      <c r="Q55" s="21">
        <f t="shared" si="3"/>
        <v>0.28375189022058539</v>
      </c>
      <c r="R55" s="11" t="s">
        <v>59</v>
      </c>
      <c r="S55" s="5">
        <v>131533535.04000001</v>
      </c>
      <c r="T55" s="5">
        <v>10555366626.17</v>
      </c>
      <c r="U55" s="19">
        <f t="shared" si="4"/>
        <v>1.2461294780030465</v>
      </c>
    </row>
    <row r="56" spans="1:21" ht="25.5" x14ac:dyDescent="0.25">
      <c r="A56" s="9" t="s">
        <v>60</v>
      </c>
      <c r="B56" s="10">
        <v>288766935.66000003</v>
      </c>
      <c r="C56" s="5">
        <v>41650458468.889999</v>
      </c>
      <c r="D56" s="19">
        <f t="shared" si="5"/>
        <v>0.6933103410510808</v>
      </c>
      <c r="E56" s="4" t="s">
        <v>60</v>
      </c>
      <c r="F56" s="6">
        <v>145544301.88999999</v>
      </c>
      <c r="G56" s="5">
        <v>38008233437.400002</v>
      </c>
      <c r="H56" s="7">
        <f t="shared" si="0"/>
        <v>0.38292835190489222</v>
      </c>
      <c r="I56" s="11" t="s">
        <v>60</v>
      </c>
      <c r="J56" s="5">
        <v>69882259.510000005</v>
      </c>
      <c r="K56" s="5">
        <v>37852071377.559998</v>
      </c>
      <c r="L56" s="20">
        <f t="shared" si="2"/>
        <v>0.18461938004119005</v>
      </c>
      <c r="M56" s="4"/>
      <c r="N56" s="11" t="s">
        <v>60</v>
      </c>
      <c r="O56" s="5">
        <v>90445277.349999994</v>
      </c>
      <c r="P56" s="5">
        <v>36494282568.589996</v>
      </c>
      <c r="Q56" s="21">
        <f t="shared" si="3"/>
        <v>0.24783410162951031</v>
      </c>
      <c r="R56" s="11" t="s">
        <v>60</v>
      </c>
      <c r="S56" s="5">
        <v>365083418.20999998</v>
      </c>
      <c r="T56" s="5">
        <v>32463267447.919998</v>
      </c>
      <c r="U56" s="19">
        <f t="shared" si="4"/>
        <v>1.1246046590833598</v>
      </c>
    </row>
    <row r="57" spans="1:21" ht="38.25" x14ac:dyDescent="0.25">
      <c r="A57" s="9" t="s">
        <v>61</v>
      </c>
      <c r="B57" s="10">
        <v>126245618.77</v>
      </c>
      <c r="C57" s="5">
        <v>27053090135.34</v>
      </c>
      <c r="D57" s="19">
        <f t="shared" si="5"/>
        <v>0.46665877405658285</v>
      </c>
      <c r="E57" s="4" t="s">
        <v>61</v>
      </c>
      <c r="F57" s="6">
        <v>113494839.17</v>
      </c>
      <c r="G57" s="5">
        <v>26352807486.82</v>
      </c>
      <c r="H57" s="7">
        <f t="shared" si="0"/>
        <v>0.43067456561037343</v>
      </c>
      <c r="I57" s="11" t="s">
        <v>61</v>
      </c>
      <c r="J57" s="5">
        <v>38881721.719999999</v>
      </c>
      <c r="K57" s="5">
        <v>26333973633.709999</v>
      </c>
      <c r="L57" s="20">
        <f t="shared" si="2"/>
        <v>0.14764851769361417</v>
      </c>
      <c r="M57" s="4"/>
      <c r="N57" s="11" t="s">
        <v>61</v>
      </c>
      <c r="O57" s="5">
        <v>54730449.200000003</v>
      </c>
      <c r="P57" s="5">
        <v>24381180927.189999</v>
      </c>
      <c r="Q57" s="21">
        <f t="shared" si="3"/>
        <v>0.22447825379518169</v>
      </c>
      <c r="R57" s="11" t="s">
        <v>61</v>
      </c>
      <c r="S57" s="5">
        <v>229214367.96000001</v>
      </c>
      <c r="T57" s="5">
        <v>22335117847.360001</v>
      </c>
      <c r="U57" s="19">
        <f t="shared" si="4"/>
        <v>1.0262509897036116</v>
      </c>
    </row>
    <row r="58" spans="1:21" ht="38.25" x14ac:dyDescent="0.25">
      <c r="A58" s="9" t="s">
        <v>62</v>
      </c>
      <c r="B58" s="10">
        <v>84937341.819999993</v>
      </c>
      <c r="C58" s="5">
        <v>13624269143.01</v>
      </c>
      <c r="D58" s="19">
        <f t="shared" si="5"/>
        <v>0.62342677561957527</v>
      </c>
      <c r="E58" s="4" t="s">
        <v>62</v>
      </c>
      <c r="F58" s="6">
        <v>61695123.630000003</v>
      </c>
      <c r="G58" s="5">
        <v>12735394103.030001</v>
      </c>
      <c r="H58" s="7">
        <f t="shared" si="0"/>
        <v>0.48443827596447542</v>
      </c>
      <c r="I58" s="11" t="s">
        <v>62</v>
      </c>
      <c r="J58" s="5">
        <v>27710151.989999998</v>
      </c>
      <c r="K58" s="5">
        <v>12506674942.68</v>
      </c>
      <c r="L58" s="20">
        <f t="shared" si="2"/>
        <v>0.22156290234614601</v>
      </c>
      <c r="M58" s="4"/>
      <c r="N58" s="11" t="s">
        <v>62</v>
      </c>
      <c r="O58" s="5">
        <v>37554757.200000003</v>
      </c>
      <c r="P58" s="5">
        <v>11880522686.43</v>
      </c>
      <c r="Q58" s="21">
        <f t="shared" si="3"/>
        <v>0.31610357718432086</v>
      </c>
      <c r="R58" s="11" t="s">
        <v>62</v>
      </c>
      <c r="S58" s="5">
        <v>74958143.290000007</v>
      </c>
      <c r="T58" s="5">
        <v>10773715349.049999</v>
      </c>
      <c r="U58" s="19">
        <f t="shared" si="4"/>
        <v>0.69575017402524597</v>
      </c>
    </row>
    <row r="59" spans="1:21" ht="38.25" x14ac:dyDescent="0.25">
      <c r="A59" s="9" t="s">
        <v>63</v>
      </c>
      <c r="B59" s="10">
        <v>31372671.16</v>
      </c>
      <c r="C59" s="5">
        <v>8835518196.7700005</v>
      </c>
      <c r="D59" s="19">
        <f t="shared" si="5"/>
        <v>0.3550744898184795</v>
      </c>
      <c r="E59" s="4" t="s">
        <v>63</v>
      </c>
      <c r="F59" s="6">
        <v>18554987.870000001</v>
      </c>
      <c r="G59" s="5">
        <v>8487463558.6099997</v>
      </c>
      <c r="H59" s="7">
        <f t="shared" si="0"/>
        <v>0.21861640691437348</v>
      </c>
      <c r="I59" s="11" t="s">
        <v>63</v>
      </c>
      <c r="J59" s="5">
        <v>11294017.16</v>
      </c>
      <c r="K59" s="5">
        <v>8202154050.9899998</v>
      </c>
      <c r="L59" s="20">
        <f t="shared" si="2"/>
        <v>0.13769574540771778</v>
      </c>
      <c r="M59" s="4"/>
      <c r="N59" s="11" t="s">
        <v>63</v>
      </c>
      <c r="O59" s="5">
        <v>13968204</v>
      </c>
      <c r="P59" s="5">
        <v>8056720681.5600004</v>
      </c>
      <c r="Q59" s="21">
        <f t="shared" si="3"/>
        <v>0.17337331840199002</v>
      </c>
      <c r="R59" s="11" t="s">
        <v>63</v>
      </c>
      <c r="S59" s="5">
        <v>125652626.73999999</v>
      </c>
      <c r="T59" s="5">
        <v>7306972127.6000004</v>
      </c>
      <c r="U59" s="19">
        <f t="shared" si="4"/>
        <v>1.7196264683340325</v>
      </c>
    </row>
    <row r="60" spans="1:21" ht="38.25" x14ac:dyDescent="0.25">
      <c r="A60" s="9" t="s">
        <v>64</v>
      </c>
      <c r="B60" s="10">
        <v>911519354.35000002</v>
      </c>
      <c r="C60" s="5">
        <v>83880635795.770004</v>
      </c>
      <c r="D60" s="19">
        <f t="shared" si="5"/>
        <v>1.0866862723469803</v>
      </c>
      <c r="E60" s="4" t="s">
        <v>64</v>
      </c>
      <c r="F60" s="6">
        <v>735546691.83000004</v>
      </c>
      <c r="G60" s="5">
        <v>81789942540.270004</v>
      </c>
      <c r="H60" s="7">
        <f t="shared" si="0"/>
        <v>0.89931190680057893</v>
      </c>
      <c r="I60" s="11" t="s">
        <v>64</v>
      </c>
      <c r="J60" s="5">
        <v>264329474.88</v>
      </c>
      <c r="K60" s="5">
        <v>79065990962.229996</v>
      </c>
      <c r="L60" s="20">
        <f t="shared" si="2"/>
        <v>0.33431500909951384</v>
      </c>
      <c r="M60" s="4"/>
      <c r="N60" s="11" t="s">
        <v>64</v>
      </c>
      <c r="O60" s="5">
        <v>243140441.66</v>
      </c>
      <c r="P60" s="5">
        <v>76242999954.600006</v>
      </c>
      <c r="Q60" s="21">
        <f t="shared" si="3"/>
        <v>0.31890198681161741</v>
      </c>
      <c r="R60" s="11" t="s">
        <v>64</v>
      </c>
      <c r="S60" s="5">
        <v>365889884.02999997</v>
      </c>
      <c r="T60" s="5">
        <v>68331150081.910004</v>
      </c>
      <c r="U60" s="19">
        <f t="shared" si="4"/>
        <v>0.53546571891648242</v>
      </c>
    </row>
    <row r="61" spans="1:21" ht="38.25" x14ac:dyDescent="0.25">
      <c r="A61" s="9" t="s">
        <v>65</v>
      </c>
      <c r="B61" s="10">
        <v>463849943.63</v>
      </c>
      <c r="C61" s="5">
        <v>28879122377.16</v>
      </c>
      <c r="D61" s="19">
        <f t="shared" si="5"/>
        <v>1.6061774231645312</v>
      </c>
      <c r="E61" s="4" t="s">
        <v>65</v>
      </c>
      <c r="F61" s="6">
        <v>272485245.05000001</v>
      </c>
      <c r="G61" s="5">
        <v>27562300912.700001</v>
      </c>
      <c r="H61" s="7">
        <f t="shared" ref="H61:H88" si="6">F61*100/G61</f>
        <v>0.98861573971295624</v>
      </c>
      <c r="I61" s="11" t="s">
        <v>65</v>
      </c>
      <c r="J61" s="5">
        <v>84240183.799999997</v>
      </c>
      <c r="K61" s="5">
        <v>26513013923.02</v>
      </c>
      <c r="L61" s="20">
        <f t="shared" si="2"/>
        <v>0.31773145084368631</v>
      </c>
      <c r="M61" s="4"/>
      <c r="N61" s="11" t="s">
        <v>65</v>
      </c>
      <c r="O61" s="5">
        <v>71407419.159999996</v>
      </c>
      <c r="P61" s="5">
        <v>24874450879.290001</v>
      </c>
      <c r="Q61" s="21">
        <f t="shared" ref="Q61:Q85" si="7">O61*100/P61</f>
        <v>0.28707133880672908</v>
      </c>
      <c r="R61" s="11" t="s">
        <v>65</v>
      </c>
      <c r="S61" s="5">
        <v>97370512.120000005</v>
      </c>
      <c r="T61" s="5">
        <v>22263569840.759998</v>
      </c>
      <c r="U61" s="19">
        <f t="shared" si="4"/>
        <v>0.43735354579899716</v>
      </c>
    </row>
    <row r="62" spans="1:21" ht="38.25" x14ac:dyDescent="0.25">
      <c r="A62" s="9" t="s">
        <v>66</v>
      </c>
      <c r="B62" s="10">
        <v>331200987.19</v>
      </c>
      <c r="C62" s="5">
        <v>54649758763.919998</v>
      </c>
      <c r="D62" s="19">
        <f t="shared" si="5"/>
        <v>0.60604290793074878</v>
      </c>
      <c r="E62" s="4" t="s">
        <v>66</v>
      </c>
      <c r="F62" s="6">
        <v>337330999.89999998</v>
      </c>
      <c r="G62" s="5">
        <v>50510555633.32</v>
      </c>
      <c r="H62" s="7">
        <f t="shared" si="6"/>
        <v>0.66784258393205009</v>
      </c>
      <c r="I62" s="11" t="s">
        <v>66</v>
      </c>
      <c r="J62" s="5">
        <v>112111940.84999999</v>
      </c>
      <c r="K62" s="5">
        <v>48463692573.07</v>
      </c>
      <c r="L62" s="20">
        <f t="shared" ref="L62:L88" si="8">J62*100/K62</f>
        <v>0.23133181748577214</v>
      </c>
      <c r="M62" s="4"/>
      <c r="N62" s="11" t="s">
        <v>66</v>
      </c>
      <c r="O62" s="5">
        <v>97522302.969999999</v>
      </c>
      <c r="P62" s="5">
        <v>46515870318.559998</v>
      </c>
      <c r="Q62" s="21">
        <f t="shared" si="7"/>
        <v>0.20965382847214675</v>
      </c>
      <c r="R62" s="11" t="s">
        <v>66</v>
      </c>
      <c r="S62" s="5">
        <v>397083619.61000001</v>
      </c>
      <c r="T62" s="5">
        <v>42287439824.290001</v>
      </c>
      <c r="U62" s="19">
        <f t="shared" ref="U62:U85" si="9">S62*100/T62</f>
        <v>0.93901078253953385</v>
      </c>
    </row>
    <row r="63" spans="1:21" ht="51" x14ac:dyDescent="0.25">
      <c r="A63" s="9" t="s">
        <v>67</v>
      </c>
      <c r="B63" s="10">
        <v>1049283097.48</v>
      </c>
      <c r="C63" s="5">
        <v>76994498530.289993</v>
      </c>
      <c r="D63" s="19">
        <f t="shared" si="5"/>
        <v>1.3628026904639261</v>
      </c>
      <c r="E63" s="4" t="s">
        <v>67</v>
      </c>
      <c r="F63" s="6">
        <v>767421964.96000004</v>
      </c>
      <c r="G63" s="5">
        <v>73126642968.589996</v>
      </c>
      <c r="H63" s="7">
        <f t="shared" si="6"/>
        <v>1.0494423561732895</v>
      </c>
      <c r="I63" s="11" t="s">
        <v>67</v>
      </c>
      <c r="J63" s="5">
        <v>102914503.2</v>
      </c>
      <c r="K63" s="5">
        <v>69904635713.279999</v>
      </c>
      <c r="L63" s="20">
        <f t="shared" si="8"/>
        <v>0.14722128532664538</v>
      </c>
      <c r="M63" s="4"/>
      <c r="N63" s="11" t="s">
        <v>67</v>
      </c>
      <c r="O63" s="5">
        <v>62674754.789999999</v>
      </c>
      <c r="P63" s="5">
        <v>65623679250.650002</v>
      </c>
      <c r="Q63" s="21">
        <f t="shared" si="7"/>
        <v>9.5506310383197859E-2</v>
      </c>
      <c r="R63" s="11" t="s">
        <v>67</v>
      </c>
      <c r="S63" s="5">
        <v>202876665.52000001</v>
      </c>
      <c r="T63" s="5">
        <v>61895377860.019997</v>
      </c>
      <c r="U63" s="19">
        <f t="shared" si="9"/>
        <v>0.32777353097159762</v>
      </c>
    </row>
    <row r="64" spans="1:21" ht="51" x14ac:dyDescent="0.25">
      <c r="A64" s="9" t="s">
        <v>68</v>
      </c>
      <c r="B64" s="10">
        <v>691167841.07000005</v>
      </c>
      <c r="C64" s="5">
        <v>46630778558.120003</v>
      </c>
      <c r="D64" s="19">
        <f t="shared" si="5"/>
        <v>1.4822138133690761</v>
      </c>
      <c r="E64" s="4" t="s">
        <v>68</v>
      </c>
      <c r="F64" s="6">
        <v>460301868.97000003</v>
      </c>
      <c r="G64" s="5">
        <v>41488249899.25</v>
      </c>
      <c r="H64" s="7">
        <f t="shared" si="6"/>
        <v>1.10947526127951</v>
      </c>
      <c r="I64" s="11" t="s">
        <v>68</v>
      </c>
      <c r="J64" s="5">
        <v>23192755.190000001</v>
      </c>
      <c r="K64" s="5">
        <v>40742407871.089996</v>
      </c>
      <c r="L64" s="20">
        <f t="shared" si="8"/>
        <v>5.6925342418107594E-2</v>
      </c>
      <c r="M64" s="4"/>
      <c r="N64" s="11" t="s">
        <v>68</v>
      </c>
      <c r="O64" s="5">
        <v>30065266.460000001</v>
      </c>
      <c r="P64" s="5">
        <v>39757536543.919998</v>
      </c>
      <c r="Q64" s="21">
        <f t="shared" si="7"/>
        <v>7.5621552725700231E-2</v>
      </c>
      <c r="R64" s="11" t="s">
        <v>68</v>
      </c>
      <c r="S64" s="5">
        <v>97048055.049999997</v>
      </c>
      <c r="T64" s="5">
        <v>35016882681.160004</v>
      </c>
      <c r="U64" s="19">
        <f t="shared" si="9"/>
        <v>0.27714647227068667</v>
      </c>
    </row>
    <row r="65" spans="1:21" ht="38.25" x14ac:dyDescent="0.25">
      <c r="A65" s="9" t="s">
        <v>69</v>
      </c>
      <c r="B65" s="10">
        <v>34557522.979999997</v>
      </c>
      <c r="C65" s="5">
        <v>12162147893</v>
      </c>
      <c r="D65" s="19">
        <f t="shared" ref="D65:D85" si="10">B65*100/C65</f>
        <v>0.28413996675611708</v>
      </c>
      <c r="E65" s="4" t="s">
        <v>69</v>
      </c>
      <c r="F65" s="6">
        <v>8520638.6400000006</v>
      </c>
      <c r="G65" s="5">
        <v>11359795409.77</v>
      </c>
      <c r="H65" s="7">
        <f t="shared" si="6"/>
        <v>7.5006972684312764E-2</v>
      </c>
      <c r="I65" s="11" t="s">
        <v>69</v>
      </c>
      <c r="J65" s="5">
        <v>23793288.199999999</v>
      </c>
      <c r="K65" s="5">
        <v>11367436108.93</v>
      </c>
      <c r="L65" s="20">
        <f t="shared" si="8"/>
        <v>0.20931094727076172</v>
      </c>
      <c r="M65" s="4"/>
      <c r="N65" s="11" t="s">
        <v>69</v>
      </c>
      <c r="O65" s="5">
        <v>38890903.159999996</v>
      </c>
      <c r="P65" s="5">
        <v>11293755258.24</v>
      </c>
      <c r="Q65" s="21">
        <f t="shared" si="7"/>
        <v>0.34435758762901231</v>
      </c>
      <c r="R65" s="11" t="s">
        <v>69</v>
      </c>
      <c r="S65" s="5">
        <v>112457323.73</v>
      </c>
      <c r="T65" s="5">
        <v>10010038209.360001</v>
      </c>
      <c r="U65" s="19">
        <f t="shared" si="9"/>
        <v>1.1234454991874605</v>
      </c>
    </row>
    <row r="66" spans="1:21" ht="38.25" x14ac:dyDescent="0.25">
      <c r="A66" s="9" t="s">
        <v>70</v>
      </c>
      <c r="B66" s="10">
        <v>3496680.95</v>
      </c>
      <c r="C66" s="5">
        <v>3193571560.4299998</v>
      </c>
      <c r="D66" s="19">
        <f t="shared" si="10"/>
        <v>0.10949123524663364</v>
      </c>
      <c r="E66" s="4" t="s">
        <v>70</v>
      </c>
      <c r="F66" s="6">
        <v>3305847.7</v>
      </c>
      <c r="G66" s="5">
        <v>3032003737.1300001</v>
      </c>
      <c r="H66" s="7">
        <f t="shared" si="6"/>
        <v>0.10903178183840934</v>
      </c>
      <c r="I66" s="11" t="s">
        <v>70</v>
      </c>
      <c r="J66" s="5">
        <v>1934645.59</v>
      </c>
      <c r="K66" s="5">
        <v>2880891525.6700001</v>
      </c>
      <c r="L66" s="20">
        <f t="shared" si="8"/>
        <v>6.7154405945571496E-2</v>
      </c>
      <c r="M66" s="4"/>
      <c r="N66" s="11" t="s">
        <v>70</v>
      </c>
      <c r="O66" s="5">
        <v>3633083.55</v>
      </c>
      <c r="P66" s="5">
        <v>2802180034.1100001</v>
      </c>
      <c r="Q66" s="21">
        <f t="shared" si="7"/>
        <v>0.12965203897592908</v>
      </c>
      <c r="R66" s="11" t="s">
        <v>70</v>
      </c>
      <c r="S66" s="5">
        <v>7935490.0199999996</v>
      </c>
      <c r="T66" s="5">
        <v>2447279734.2800002</v>
      </c>
      <c r="U66" s="19">
        <f t="shared" si="9"/>
        <v>0.32425757909259417</v>
      </c>
    </row>
    <row r="67" spans="1:21" ht="38.25" x14ac:dyDescent="0.25">
      <c r="A67" s="9" t="s">
        <v>71</v>
      </c>
      <c r="B67" s="10">
        <v>84896840.359999999</v>
      </c>
      <c r="C67" s="5">
        <v>21464256482.16</v>
      </c>
      <c r="D67" s="19">
        <f t="shared" si="10"/>
        <v>0.39552658360452386</v>
      </c>
      <c r="E67" s="4" t="s">
        <v>71</v>
      </c>
      <c r="F67" s="6">
        <v>49159367.939999998</v>
      </c>
      <c r="G67" s="5">
        <v>20256818131.279999</v>
      </c>
      <c r="H67" s="7">
        <f t="shared" si="6"/>
        <v>0.24268060078048245</v>
      </c>
      <c r="I67" s="11" t="s">
        <v>71</v>
      </c>
      <c r="J67" s="5">
        <v>36431983.850000001</v>
      </c>
      <c r="K67" s="5">
        <v>20425828975.580002</v>
      </c>
      <c r="L67" s="20">
        <f t="shared" si="8"/>
        <v>0.17836232690264897</v>
      </c>
      <c r="M67" s="4"/>
      <c r="N67" s="11" t="s">
        <v>71</v>
      </c>
      <c r="O67" s="5">
        <v>46212085.990000002</v>
      </c>
      <c r="P67" s="5">
        <v>19140629333.400002</v>
      </c>
      <c r="Q67" s="21">
        <f t="shared" si="7"/>
        <v>0.24143451704255547</v>
      </c>
      <c r="R67" s="11" t="s">
        <v>71</v>
      </c>
      <c r="S67" s="5">
        <v>199578977.41999999</v>
      </c>
      <c r="T67" s="5">
        <v>17503612311.5</v>
      </c>
      <c r="U67" s="19">
        <f t="shared" si="9"/>
        <v>1.1402159386772703</v>
      </c>
    </row>
    <row r="68" spans="1:21" ht="38.25" x14ac:dyDescent="0.25">
      <c r="A68" s="9" t="s">
        <v>72</v>
      </c>
      <c r="B68" s="10">
        <v>373802539.57999998</v>
      </c>
      <c r="C68" s="5">
        <v>61637011596.330002</v>
      </c>
      <c r="D68" s="19">
        <f t="shared" si="10"/>
        <v>0.60645792178908464</v>
      </c>
      <c r="E68" s="4" t="s">
        <v>72</v>
      </c>
      <c r="F68" s="6">
        <v>221886545.25999999</v>
      </c>
      <c r="G68" s="5">
        <v>57311255118.550003</v>
      </c>
      <c r="H68" s="7">
        <f t="shared" si="6"/>
        <v>0.38716050590939111</v>
      </c>
      <c r="I68" s="11" t="s">
        <v>72</v>
      </c>
      <c r="J68" s="5">
        <v>118834306.66</v>
      </c>
      <c r="K68" s="5">
        <v>56218094610.080002</v>
      </c>
      <c r="L68" s="20">
        <f t="shared" si="8"/>
        <v>0.21138088632177299</v>
      </c>
      <c r="M68" s="4"/>
      <c r="N68" s="11" t="s">
        <v>72</v>
      </c>
      <c r="O68" s="5">
        <v>171165849.94</v>
      </c>
      <c r="P68" s="5">
        <v>54017042678.660004</v>
      </c>
      <c r="Q68" s="21">
        <f t="shared" si="7"/>
        <v>0.31687378918213316</v>
      </c>
      <c r="R68" s="11" t="s">
        <v>72</v>
      </c>
      <c r="S68" s="5">
        <v>280411009.06999999</v>
      </c>
      <c r="T68" s="5">
        <v>49462138365.519997</v>
      </c>
      <c r="U68" s="19">
        <f t="shared" si="9"/>
        <v>0.56692051402588406</v>
      </c>
    </row>
    <row r="69" spans="1:21" ht="25.5" x14ac:dyDescent="0.25">
      <c r="A69" s="9" t="s">
        <v>73</v>
      </c>
      <c r="B69" s="10">
        <v>712289635.25999999</v>
      </c>
      <c r="C69" s="5">
        <v>44543889095.459999</v>
      </c>
      <c r="D69" s="19">
        <f t="shared" si="10"/>
        <v>1.599073744399651</v>
      </c>
      <c r="E69" s="4" t="s">
        <v>73</v>
      </c>
      <c r="F69" s="6">
        <v>348330948.37</v>
      </c>
      <c r="G69" s="5">
        <v>40312479381.440002</v>
      </c>
      <c r="H69" s="7">
        <f t="shared" si="6"/>
        <v>0.86407721309836549</v>
      </c>
      <c r="I69" s="11" t="s">
        <v>73</v>
      </c>
      <c r="J69" s="5">
        <v>137902758.03999999</v>
      </c>
      <c r="K69" s="5">
        <v>39909841626.239998</v>
      </c>
      <c r="L69" s="20">
        <f t="shared" si="8"/>
        <v>0.34553571856153753</v>
      </c>
      <c r="M69" s="4"/>
      <c r="N69" s="11" t="s">
        <v>73</v>
      </c>
      <c r="O69" s="5">
        <v>187542954.22</v>
      </c>
      <c r="P69" s="5">
        <v>37086339848.43</v>
      </c>
      <c r="Q69" s="21">
        <f t="shared" si="7"/>
        <v>0.50569281030826607</v>
      </c>
      <c r="R69" s="11" t="s">
        <v>73</v>
      </c>
      <c r="S69" s="5">
        <v>202579776.75999999</v>
      </c>
      <c r="T69" s="5">
        <v>34188408136.810001</v>
      </c>
      <c r="U69" s="19">
        <f t="shared" si="9"/>
        <v>0.59253936582641364</v>
      </c>
    </row>
    <row r="70" spans="1:21" ht="38.25" x14ac:dyDescent="0.25">
      <c r="A70" s="9" t="s">
        <v>74</v>
      </c>
      <c r="B70" s="10">
        <v>122836868.56999999</v>
      </c>
      <c r="C70" s="5">
        <v>39202182798.160004</v>
      </c>
      <c r="D70" s="19">
        <f t="shared" si="10"/>
        <v>0.31334191058301347</v>
      </c>
      <c r="E70" s="4" t="s">
        <v>74</v>
      </c>
      <c r="F70" s="6">
        <v>102293946.19</v>
      </c>
      <c r="G70" s="5">
        <v>38661686291.669998</v>
      </c>
      <c r="H70" s="7">
        <f t="shared" si="6"/>
        <v>0.26458738870901277</v>
      </c>
      <c r="I70" s="11" t="s">
        <v>74</v>
      </c>
      <c r="J70" s="5">
        <v>66331294.450000003</v>
      </c>
      <c r="K70" s="5">
        <v>41941781906.970001</v>
      </c>
      <c r="L70" s="20">
        <f t="shared" si="8"/>
        <v>0.15815087350634685</v>
      </c>
      <c r="M70" s="4"/>
      <c r="N70" s="11" t="s">
        <v>74</v>
      </c>
      <c r="O70" s="5">
        <v>126206331.98</v>
      </c>
      <c r="P70" s="5">
        <v>37855436440.110001</v>
      </c>
      <c r="Q70" s="21">
        <f t="shared" si="7"/>
        <v>0.33339024417184415</v>
      </c>
      <c r="R70" s="11" t="s">
        <v>74</v>
      </c>
      <c r="S70" s="5">
        <v>159321017.66999999</v>
      </c>
      <c r="T70" s="5">
        <v>36734020828.239998</v>
      </c>
      <c r="U70" s="19">
        <f t="shared" si="9"/>
        <v>0.43371516125324028</v>
      </c>
    </row>
    <row r="71" spans="1:21" ht="38.25" x14ac:dyDescent="0.25">
      <c r="A71" s="9" t="s">
        <v>75</v>
      </c>
      <c r="B71" s="10">
        <v>611288636.83000004</v>
      </c>
      <c r="C71" s="5">
        <v>47095159214.68</v>
      </c>
      <c r="D71" s="19">
        <f t="shared" si="10"/>
        <v>1.2979861349305211</v>
      </c>
      <c r="E71" s="4" t="s">
        <v>75</v>
      </c>
      <c r="F71" s="6">
        <v>385706845.25999999</v>
      </c>
      <c r="G71" s="5">
        <v>43415294529.660004</v>
      </c>
      <c r="H71" s="7">
        <f t="shared" si="6"/>
        <v>0.88841236582305538</v>
      </c>
      <c r="I71" s="11" t="s">
        <v>75</v>
      </c>
      <c r="J71" s="5">
        <v>190680350.94999999</v>
      </c>
      <c r="K71" s="5">
        <v>43011301364.389999</v>
      </c>
      <c r="L71" s="20">
        <f t="shared" si="8"/>
        <v>0.44332616057013435</v>
      </c>
      <c r="M71" s="4"/>
      <c r="N71" s="11" t="s">
        <v>75</v>
      </c>
      <c r="O71" s="5">
        <v>239904249.34</v>
      </c>
      <c r="P71" s="5">
        <v>41035464896.370003</v>
      </c>
      <c r="Q71" s="21">
        <f t="shared" si="7"/>
        <v>0.58462661491918888</v>
      </c>
      <c r="R71" s="11" t="s">
        <v>75</v>
      </c>
      <c r="S71" s="5">
        <v>177645449.65000001</v>
      </c>
      <c r="T71" s="5">
        <v>36513706212.370003</v>
      </c>
      <c r="U71" s="19">
        <f t="shared" si="9"/>
        <v>0.48651716869491002</v>
      </c>
    </row>
    <row r="72" spans="1:21" ht="25.5" x14ac:dyDescent="0.25">
      <c r="A72" s="9" t="s">
        <v>76</v>
      </c>
      <c r="B72" s="10">
        <v>86206201.099999994</v>
      </c>
      <c r="C72" s="5">
        <v>23167129163.639999</v>
      </c>
      <c r="D72" s="19">
        <f t="shared" si="10"/>
        <v>0.37210566959370012</v>
      </c>
      <c r="E72" s="4" t="s">
        <v>76</v>
      </c>
      <c r="F72" s="6">
        <v>82910174.540000007</v>
      </c>
      <c r="G72" s="5">
        <v>21863048692.009998</v>
      </c>
      <c r="H72" s="7">
        <f t="shared" si="6"/>
        <v>0.37922512869991504</v>
      </c>
      <c r="I72" s="11" t="s">
        <v>76</v>
      </c>
      <c r="J72" s="5">
        <v>38888778.810000002</v>
      </c>
      <c r="K72" s="5">
        <v>21750127746.619999</v>
      </c>
      <c r="L72" s="20">
        <f t="shared" si="8"/>
        <v>0.17879793288130627</v>
      </c>
      <c r="M72" s="4"/>
      <c r="N72" s="11" t="s">
        <v>76</v>
      </c>
      <c r="O72" s="5">
        <v>46072237.549999997</v>
      </c>
      <c r="P72" s="5">
        <v>21414854094.02</v>
      </c>
      <c r="Q72" s="21">
        <f t="shared" si="7"/>
        <v>0.21514149640116137</v>
      </c>
      <c r="R72" s="11" t="s">
        <v>76</v>
      </c>
      <c r="S72" s="5">
        <v>201764512.72</v>
      </c>
      <c r="T72" s="5">
        <v>19287646089.080002</v>
      </c>
      <c r="U72" s="19">
        <f t="shared" si="9"/>
        <v>1.0460815787896072</v>
      </c>
    </row>
    <row r="73" spans="1:21" ht="25.5" x14ac:dyDescent="0.25">
      <c r="A73" s="9" t="s">
        <v>77</v>
      </c>
      <c r="B73" s="10">
        <v>91892882.799999997</v>
      </c>
      <c r="C73" s="5">
        <v>18739308842.91</v>
      </c>
      <c r="D73" s="19">
        <f t="shared" si="10"/>
        <v>0.49037498431948617</v>
      </c>
      <c r="E73" s="4" t="s">
        <v>77</v>
      </c>
      <c r="F73" s="6">
        <v>64452899.640000001</v>
      </c>
      <c r="G73" s="5">
        <v>17394481405.889999</v>
      </c>
      <c r="H73" s="7">
        <f t="shared" si="6"/>
        <v>0.37053648301452324</v>
      </c>
      <c r="I73" s="11" t="s">
        <v>77</v>
      </c>
      <c r="J73" s="5">
        <v>40220537.009999998</v>
      </c>
      <c r="K73" s="5">
        <v>17141398904.700001</v>
      </c>
      <c r="L73" s="20">
        <f t="shared" si="8"/>
        <v>0.23463975859620145</v>
      </c>
      <c r="M73" s="4"/>
      <c r="N73" s="11" t="s">
        <v>77</v>
      </c>
      <c r="O73" s="5">
        <v>58281879.140000001</v>
      </c>
      <c r="P73" s="5">
        <v>16020212008.209999</v>
      </c>
      <c r="Q73" s="21">
        <f t="shared" si="7"/>
        <v>0.36380217134537202</v>
      </c>
      <c r="R73" s="11" t="s">
        <v>77</v>
      </c>
      <c r="S73" s="5">
        <v>68354238.670000002</v>
      </c>
      <c r="T73" s="5">
        <v>15081405790.879999</v>
      </c>
      <c r="U73" s="19">
        <f t="shared" si="9"/>
        <v>0.45323519317632216</v>
      </c>
    </row>
    <row r="74" spans="1:21" ht="38.25" x14ac:dyDescent="0.25">
      <c r="A74" s="9" t="s">
        <v>78</v>
      </c>
      <c r="B74" s="10">
        <v>14233235.48</v>
      </c>
      <c r="C74" s="5">
        <v>2145207047.9200001</v>
      </c>
      <c r="D74" s="19">
        <f t="shared" si="10"/>
        <v>0.66349005769865399</v>
      </c>
      <c r="E74" s="4" t="s">
        <v>78</v>
      </c>
      <c r="F74" s="6">
        <v>12363402.09</v>
      </c>
      <c r="G74" s="5">
        <v>2121502888.02</v>
      </c>
      <c r="H74" s="7">
        <f t="shared" si="6"/>
        <v>0.5827662153945391</v>
      </c>
      <c r="I74" s="11" t="s">
        <v>78</v>
      </c>
      <c r="J74" s="5">
        <v>7213859.8799999999</v>
      </c>
      <c r="K74" s="5">
        <v>2129218426.8199999</v>
      </c>
      <c r="L74" s="20">
        <f t="shared" si="8"/>
        <v>0.33880318661218528</v>
      </c>
      <c r="M74" s="4"/>
      <c r="N74" s="11" t="s">
        <v>78</v>
      </c>
      <c r="O74" s="5">
        <v>11505547.07</v>
      </c>
      <c r="P74" s="5">
        <v>2008275800.74</v>
      </c>
      <c r="Q74" s="21">
        <f t="shared" si="7"/>
        <v>0.57290672256074038</v>
      </c>
      <c r="R74" s="11" t="s">
        <v>78</v>
      </c>
      <c r="S74" s="5">
        <v>39210937.380000003</v>
      </c>
      <c r="T74" s="5">
        <v>1755472773.9100001</v>
      </c>
      <c r="U74" s="19">
        <f t="shared" si="9"/>
        <v>2.2336397329970938</v>
      </c>
    </row>
    <row r="75" spans="1:21" ht="38.25" x14ac:dyDescent="0.25">
      <c r="A75" s="9" t="s">
        <v>79</v>
      </c>
      <c r="B75" s="10">
        <v>27850242.390000001</v>
      </c>
      <c r="C75" s="5">
        <v>7114157301.3900003</v>
      </c>
      <c r="D75" s="19">
        <f t="shared" si="10"/>
        <v>0.39147633669216841</v>
      </c>
      <c r="E75" s="4" t="s">
        <v>79</v>
      </c>
      <c r="F75" s="6">
        <v>13163563.109999999</v>
      </c>
      <c r="G75" s="5">
        <v>6758237691.2399998</v>
      </c>
      <c r="H75" s="7">
        <f t="shared" si="6"/>
        <v>0.19477804290699272</v>
      </c>
      <c r="I75" s="11" t="s">
        <v>79</v>
      </c>
      <c r="J75" s="5">
        <v>10932493.699999999</v>
      </c>
      <c r="K75" s="5">
        <v>6610920867.6599998</v>
      </c>
      <c r="L75" s="20">
        <f t="shared" si="8"/>
        <v>0.16537020967049729</v>
      </c>
      <c r="M75" s="4"/>
      <c r="N75" s="11" t="s">
        <v>79</v>
      </c>
      <c r="O75" s="5">
        <v>15947446.48</v>
      </c>
      <c r="P75" s="5">
        <v>6379513201.0100002</v>
      </c>
      <c r="Q75" s="21">
        <f t="shared" si="7"/>
        <v>0.24997904977256274</v>
      </c>
      <c r="R75" s="11" t="s">
        <v>79</v>
      </c>
      <c r="S75" s="5">
        <v>121711956.75</v>
      </c>
      <c r="T75" s="5">
        <v>5697697420.5200005</v>
      </c>
      <c r="U75" s="19">
        <f t="shared" si="9"/>
        <v>2.136160413005785</v>
      </c>
    </row>
    <row r="76" spans="1:21" ht="38.25" x14ac:dyDescent="0.25">
      <c r="A76" s="9" t="s">
        <v>80</v>
      </c>
      <c r="B76" s="10">
        <v>118459621.83</v>
      </c>
      <c r="C76" s="5">
        <v>16596211032.08</v>
      </c>
      <c r="D76" s="19">
        <f t="shared" si="10"/>
        <v>0.7137750996358202</v>
      </c>
      <c r="E76" s="4" t="s">
        <v>80</v>
      </c>
      <c r="F76" s="6">
        <v>40667423.390000001</v>
      </c>
      <c r="G76" s="5">
        <v>15804387139.530001</v>
      </c>
      <c r="H76" s="7">
        <f t="shared" si="6"/>
        <v>0.25731730709305689</v>
      </c>
      <c r="I76" s="11" t="s">
        <v>80</v>
      </c>
      <c r="J76" s="5">
        <v>27012666.59</v>
      </c>
      <c r="K76" s="5">
        <v>15610226603.48</v>
      </c>
      <c r="L76" s="20">
        <f t="shared" si="8"/>
        <v>0.17304467946658791</v>
      </c>
      <c r="M76" s="4"/>
      <c r="N76" s="11" t="s">
        <v>80</v>
      </c>
      <c r="O76" s="5">
        <v>44357514.530000001</v>
      </c>
      <c r="P76" s="5">
        <v>15190088817.32</v>
      </c>
      <c r="Q76" s="21">
        <f t="shared" si="7"/>
        <v>0.29201616306168532</v>
      </c>
      <c r="R76" s="11" t="s">
        <v>80</v>
      </c>
      <c r="S76" s="5">
        <v>147835737.06</v>
      </c>
      <c r="T76" s="5">
        <v>13795898532.4</v>
      </c>
      <c r="U76" s="19">
        <f t="shared" si="9"/>
        <v>1.0715919424371252</v>
      </c>
    </row>
    <row r="77" spans="1:21" ht="38.25" x14ac:dyDescent="0.25">
      <c r="A77" s="9" t="s">
        <v>81</v>
      </c>
      <c r="B77" s="10">
        <v>330939587.42000002</v>
      </c>
      <c r="C77" s="5">
        <v>32085438820.389999</v>
      </c>
      <c r="D77" s="19">
        <f t="shared" si="10"/>
        <v>1.0314323244028407</v>
      </c>
      <c r="E77" s="4" t="s">
        <v>81</v>
      </c>
      <c r="F77" s="6">
        <v>259159843.06999999</v>
      </c>
      <c r="G77" s="5">
        <v>29315354180.470001</v>
      </c>
      <c r="H77" s="7">
        <f t="shared" si="6"/>
        <v>0.88404131662394603</v>
      </c>
      <c r="I77" s="11" t="s">
        <v>81</v>
      </c>
      <c r="J77" s="5">
        <v>56778786.079999998</v>
      </c>
      <c r="K77" s="5">
        <v>27340724135.990002</v>
      </c>
      <c r="L77" s="20">
        <f t="shared" si="8"/>
        <v>0.20767111287026652</v>
      </c>
      <c r="M77" s="4"/>
      <c r="N77" s="11" t="s">
        <v>81</v>
      </c>
      <c r="O77" s="5">
        <v>100768153.73999999</v>
      </c>
      <c r="P77" s="5">
        <v>25398045710.189999</v>
      </c>
      <c r="Q77" s="21">
        <f t="shared" si="7"/>
        <v>0.39675554131147428</v>
      </c>
      <c r="R77" s="11" t="s">
        <v>81</v>
      </c>
      <c r="S77" s="5">
        <v>139670853.66999999</v>
      </c>
      <c r="T77" s="5">
        <v>22818763297.330002</v>
      </c>
      <c r="U77" s="19">
        <f t="shared" si="9"/>
        <v>0.61208774485312578</v>
      </c>
    </row>
    <row r="78" spans="1:21" ht="38.25" x14ac:dyDescent="0.25">
      <c r="A78" s="9" t="s">
        <v>82</v>
      </c>
      <c r="B78" s="10">
        <v>210883049.50999999</v>
      </c>
      <c r="C78" s="5">
        <v>40680394383.019997</v>
      </c>
      <c r="D78" s="19">
        <f t="shared" si="10"/>
        <v>0.51838988463204927</v>
      </c>
      <c r="E78" s="4" t="s">
        <v>82</v>
      </c>
      <c r="F78" s="6">
        <v>176717213.03</v>
      </c>
      <c r="G78" s="5">
        <v>35983068552.339996</v>
      </c>
      <c r="H78" s="7">
        <f t="shared" si="6"/>
        <v>0.49111212617387517</v>
      </c>
      <c r="I78" s="11" t="s">
        <v>82</v>
      </c>
      <c r="J78" s="5">
        <v>93544124.069999993</v>
      </c>
      <c r="K78" s="5">
        <v>35443621915.5</v>
      </c>
      <c r="L78" s="20">
        <f t="shared" si="8"/>
        <v>0.26392371607228948</v>
      </c>
      <c r="M78" s="4"/>
      <c r="N78" s="11" t="s">
        <v>82</v>
      </c>
      <c r="O78" s="5">
        <v>140408236.84</v>
      </c>
      <c r="P78" s="5">
        <v>33788943969.75</v>
      </c>
      <c r="Q78" s="21">
        <f t="shared" si="7"/>
        <v>0.41554491009160371</v>
      </c>
      <c r="R78" s="11" t="s">
        <v>82</v>
      </c>
      <c r="S78" s="5">
        <v>301064920.94999999</v>
      </c>
      <c r="T78" s="5">
        <v>32786097047.669998</v>
      </c>
      <c r="U78" s="19">
        <f t="shared" si="9"/>
        <v>0.91827008415262323</v>
      </c>
    </row>
    <row r="79" spans="1:21" ht="38.25" x14ac:dyDescent="0.25">
      <c r="A79" s="9" t="s">
        <v>83</v>
      </c>
      <c r="B79" s="10">
        <v>276721326.26999998</v>
      </c>
      <c r="C79" s="5">
        <v>34021146892.400002</v>
      </c>
      <c r="D79" s="19">
        <f t="shared" si="10"/>
        <v>0.81338035764989713</v>
      </c>
      <c r="E79" s="4" t="s">
        <v>83</v>
      </c>
      <c r="F79" s="6">
        <v>228523506.63</v>
      </c>
      <c r="G79" s="5">
        <v>32424154108.049999</v>
      </c>
      <c r="H79" s="7">
        <f t="shared" si="6"/>
        <v>0.70479404294856862</v>
      </c>
      <c r="I79" s="11" t="s">
        <v>83</v>
      </c>
      <c r="J79" s="5">
        <v>76557995.25</v>
      </c>
      <c r="K79" s="5">
        <v>33090951511.09</v>
      </c>
      <c r="L79" s="20">
        <f t="shared" si="8"/>
        <v>0.23135628246997547</v>
      </c>
      <c r="M79" s="4"/>
      <c r="N79" s="11" t="s">
        <v>83</v>
      </c>
      <c r="O79" s="5">
        <v>131969514.65000001</v>
      </c>
      <c r="P79" s="5">
        <v>31102122728.82</v>
      </c>
      <c r="Q79" s="21">
        <f t="shared" si="7"/>
        <v>0.42431031412435966</v>
      </c>
      <c r="R79" s="11" t="s">
        <v>83</v>
      </c>
      <c r="S79" s="5">
        <v>185046667.11000001</v>
      </c>
      <c r="T79" s="5">
        <v>28251258527.380001</v>
      </c>
      <c r="U79" s="19">
        <f t="shared" si="9"/>
        <v>0.65500326978587553</v>
      </c>
    </row>
    <row r="80" spans="1:21" ht="25.5" x14ac:dyDescent="0.25">
      <c r="A80" s="9" t="s">
        <v>84</v>
      </c>
      <c r="B80" s="10">
        <v>60599201.560000002</v>
      </c>
      <c r="C80" s="5">
        <v>15746073225.049999</v>
      </c>
      <c r="D80" s="19">
        <f t="shared" si="10"/>
        <v>0.38485278643055199</v>
      </c>
      <c r="E80" s="4" t="s">
        <v>84</v>
      </c>
      <c r="F80" s="6">
        <v>59832490.159999996</v>
      </c>
      <c r="G80" s="5">
        <v>15239418756.85</v>
      </c>
      <c r="H80" s="7">
        <f t="shared" si="6"/>
        <v>0.39261661559831973</v>
      </c>
      <c r="I80" s="11" t="s">
        <v>84</v>
      </c>
      <c r="J80" s="5">
        <v>15407022.529999999</v>
      </c>
      <c r="K80" s="5">
        <v>15151316045.629999</v>
      </c>
      <c r="L80" s="20">
        <f t="shared" si="8"/>
        <v>0.10168768497469072</v>
      </c>
      <c r="M80" s="4"/>
      <c r="N80" s="11" t="s">
        <v>84</v>
      </c>
      <c r="O80" s="5">
        <v>24841423.25</v>
      </c>
      <c r="P80" s="5">
        <v>14624813970.59</v>
      </c>
      <c r="Q80" s="21">
        <f t="shared" si="7"/>
        <v>0.16985804605757893</v>
      </c>
      <c r="R80" s="11" t="s">
        <v>84</v>
      </c>
      <c r="S80" s="5">
        <v>158748046.66</v>
      </c>
      <c r="T80" s="5">
        <v>13429699284.889999</v>
      </c>
      <c r="U80" s="19">
        <f t="shared" si="9"/>
        <v>1.1820670239326232</v>
      </c>
    </row>
    <row r="81" spans="1:21" ht="38.25" x14ac:dyDescent="0.25">
      <c r="A81" s="9" t="s">
        <v>85</v>
      </c>
      <c r="B81" s="10">
        <v>199926174.22999999</v>
      </c>
      <c r="C81" s="5">
        <v>16397482502.700001</v>
      </c>
      <c r="D81" s="19">
        <f t="shared" si="10"/>
        <v>1.2192491999737172</v>
      </c>
      <c r="E81" s="4" t="s">
        <v>85</v>
      </c>
      <c r="F81" s="6">
        <v>89608127.739999995</v>
      </c>
      <c r="G81" s="5">
        <v>15088598870.75</v>
      </c>
      <c r="H81" s="7">
        <f t="shared" si="6"/>
        <v>0.59387971346835799</v>
      </c>
      <c r="I81" s="11" t="s">
        <v>85</v>
      </c>
      <c r="J81" s="5">
        <v>21748760.43</v>
      </c>
      <c r="K81" s="5">
        <v>13703303025.59</v>
      </c>
      <c r="L81" s="20">
        <f t="shared" si="8"/>
        <v>0.15871181122818087</v>
      </c>
      <c r="M81" s="4"/>
      <c r="N81" s="11" t="s">
        <v>85</v>
      </c>
      <c r="O81" s="5">
        <v>26117241.699999999</v>
      </c>
      <c r="P81" s="5">
        <v>12836381583.200001</v>
      </c>
      <c r="Q81" s="21">
        <f t="shared" si="7"/>
        <v>0.20346264662451077</v>
      </c>
      <c r="R81" s="11" t="s">
        <v>85</v>
      </c>
      <c r="S81" s="5">
        <v>116287236.23</v>
      </c>
      <c r="T81" s="5">
        <v>11099804520.34</v>
      </c>
      <c r="U81" s="19">
        <f t="shared" si="9"/>
        <v>1.0476512087839722</v>
      </c>
    </row>
    <row r="82" spans="1:21" ht="38.25" x14ac:dyDescent="0.25">
      <c r="A82" s="9" t="s">
        <v>86</v>
      </c>
      <c r="B82" s="10">
        <v>167177593.08000001</v>
      </c>
      <c r="C82" s="5">
        <v>8116243824.1599998</v>
      </c>
      <c r="D82" s="19">
        <f t="shared" si="10"/>
        <v>2.0597901775985918</v>
      </c>
      <c r="E82" s="4" t="s">
        <v>86</v>
      </c>
      <c r="F82" s="6">
        <v>121457713.03</v>
      </c>
      <c r="G82" s="5">
        <v>7263272943.7700005</v>
      </c>
      <c r="H82" s="7">
        <f t="shared" si="6"/>
        <v>1.6722173869863879</v>
      </c>
      <c r="I82" s="11" t="s">
        <v>86</v>
      </c>
      <c r="J82" s="5">
        <v>6174997.5700000003</v>
      </c>
      <c r="K82" s="5">
        <v>7288268484.1899996</v>
      </c>
      <c r="L82" s="20">
        <f t="shared" si="8"/>
        <v>8.4725165975911135E-2</v>
      </c>
      <c r="M82" s="4"/>
      <c r="N82" s="11" t="s">
        <v>86</v>
      </c>
      <c r="O82" s="5">
        <v>13764874.15</v>
      </c>
      <c r="P82" s="5">
        <v>6743102674.8199997</v>
      </c>
      <c r="Q82" s="21">
        <f t="shared" si="7"/>
        <v>0.20413264952053306</v>
      </c>
      <c r="R82" s="11" t="s">
        <v>86</v>
      </c>
      <c r="S82" s="5">
        <v>54431004.229999997</v>
      </c>
      <c r="T82" s="5">
        <v>5818271879.0100002</v>
      </c>
      <c r="U82" s="19">
        <f t="shared" si="9"/>
        <v>0.93551840412211251</v>
      </c>
    </row>
    <row r="83" spans="1:21" ht="38.25" x14ac:dyDescent="0.25">
      <c r="A83" s="9" t="s">
        <v>87</v>
      </c>
      <c r="B83" s="10">
        <v>199656233.78</v>
      </c>
      <c r="C83" s="5">
        <v>24096776112.200001</v>
      </c>
      <c r="D83" s="19">
        <f t="shared" si="10"/>
        <v>0.82855994034370295</v>
      </c>
      <c r="E83" s="4" t="s">
        <v>87</v>
      </c>
      <c r="F83" s="6">
        <v>120407412.88</v>
      </c>
      <c r="G83" s="5">
        <v>21785674921.369999</v>
      </c>
      <c r="H83" s="7">
        <f t="shared" si="6"/>
        <v>0.55269076268961481</v>
      </c>
      <c r="I83" s="11" t="s">
        <v>87</v>
      </c>
      <c r="J83" s="5">
        <v>52958774.579999998</v>
      </c>
      <c r="K83" s="5">
        <v>19416467720.860001</v>
      </c>
      <c r="L83" s="20">
        <f t="shared" si="8"/>
        <v>0.27275184828342369</v>
      </c>
      <c r="M83" s="4"/>
      <c r="N83" s="11" t="s">
        <v>87</v>
      </c>
      <c r="O83" s="5">
        <v>74502825.409999996</v>
      </c>
      <c r="P83" s="5">
        <v>17840560493.02</v>
      </c>
      <c r="Q83" s="21">
        <f t="shared" si="7"/>
        <v>0.41760361418660996</v>
      </c>
      <c r="R83" s="11" t="s">
        <v>87</v>
      </c>
      <c r="S83" s="5">
        <v>107569678.87</v>
      </c>
      <c r="T83" s="5">
        <v>16392867170.83</v>
      </c>
      <c r="U83" s="19">
        <f t="shared" si="9"/>
        <v>0.65619807535202246</v>
      </c>
    </row>
    <row r="84" spans="1:21" ht="38.25" x14ac:dyDescent="0.25">
      <c r="A84" s="9" t="s">
        <v>88</v>
      </c>
      <c r="B84" s="10">
        <v>9983373.3000000007</v>
      </c>
      <c r="C84" s="5">
        <v>2758847418.5799999</v>
      </c>
      <c r="D84" s="19">
        <f t="shared" si="10"/>
        <v>0.36186754050858383</v>
      </c>
      <c r="E84" s="4" t="s">
        <v>88</v>
      </c>
      <c r="F84" s="6">
        <v>6586703.5999999996</v>
      </c>
      <c r="G84" s="5">
        <v>2590244228.3600001</v>
      </c>
      <c r="H84" s="7">
        <f t="shared" si="6"/>
        <v>0.25428890171373292</v>
      </c>
      <c r="I84" s="11" t="s">
        <v>88</v>
      </c>
      <c r="J84" s="5">
        <v>2612231</v>
      </c>
      <c r="K84" s="5">
        <v>2686927286.3899999</v>
      </c>
      <c r="L84" s="20">
        <f t="shared" si="8"/>
        <v>9.7220010873820206E-2</v>
      </c>
      <c r="M84" s="4"/>
      <c r="N84" s="11" t="s">
        <v>88</v>
      </c>
      <c r="O84" s="5">
        <v>3668142.74</v>
      </c>
      <c r="P84" s="5">
        <v>2541448419.79</v>
      </c>
      <c r="Q84" s="21">
        <f t="shared" si="7"/>
        <v>0.1443327636097804</v>
      </c>
      <c r="R84" s="11" t="s">
        <v>88</v>
      </c>
      <c r="S84" s="5">
        <v>15252755.66</v>
      </c>
      <c r="T84" s="5">
        <v>2324972015.27</v>
      </c>
      <c r="U84" s="19">
        <f t="shared" si="9"/>
        <v>0.65604039789823843</v>
      </c>
    </row>
    <row r="85" spans="1:21" ht="51" x14ac:dyDescent="0.25">
      <c r="A85" s="9" t="s">
        <v>89</v>
      </c>
      <c r="B85" s="10">
        <v>26812036</v>
      </c>
      <c r="C85" s="5">
        <v>4147804570.4499998</v>
      </c>
      <c r="D85" s="19">
        <f t="shared" si="10"/>
        <v>0.64641512261729184</v>
      </c>
      <c r="E85" s="4" t="s">
        <v>89</v>
      </c>
      <c r="F85" s="6">
        <v>22444565</v>
      </c>
      <c r="G85" s="5">
        <v>3841549957.9099998</v>
      </c>
      <c r="H85" s="7">
        <f t="shared" si="6"/>
        <v>0.58425805328354996</v>
      </c>
      <c r="I85" s="11" t="s">
        <v>89</v>
      </c>
      <c r="J85" s="5">
        <v>394834</v>
      </c>
      <c r="K85" s="5">
        <v>3948797509.4499998</v>
      </c>
      <c r="L85" s="20">
        <f t="shared" si="8"/>
        <v>9.9988413955162166E-3</v>
      </c>
      <c r="M85" s="4"/>
      <c r="N85" s="11" t="s">
        <v>89</v>
      </c>
      <c r="O85" s="5">
        <v>1053700.1599999999</v>
      </c>
      <c r="P85" s="5">
        <v>4122557642.8800001</v>
      </c>
      <c r="Q85" s="21">
        <f t="shared" si="7"/>
        <v>2.5559379668585777E-2</v>
      </c>
      <c r="R85" s="11" t="s">
        <v>89</v>
      </c>
      <c r="S85" s="5">
        <v>4003654.13</v>
      </c>
      <c r="T85" s="5">
        <v>3496620292.5</v>
      </c>
      <c r="U85" s="19">
        <f t="shared" si="9"/>
        <v>0.11450068337667522</v>
      </c>
    </row>
    <row r="86" spans="1:21" ht="38.25" x14ac:dyDescent="0.25">
      <c r="A86" s="9" t="s">
        <v>90</v>
      </c>
      <c r="B86" s="10"/>
      <c r="C86" s="23"/>
      <c r="D86" s="4"/>
      <c r="E86" s="4" t="s">
        <v>90</v>
      </c>
      <c r="F86" s="6">
        <v>143020780.80000001</v>
      </c>
      <c r="G86" s="5">
        <v>20094819247.349998</v>
      </c>
      <c r="H86" s="7">
        <f t="shared" si="6"/>
        <v>0.71172962065265089</v>
      </c>
      <c r="I86" s="11" t="s">
        <v>90</v>
      </c>
      <c r="J86" s="5">
        <v>375657.34</v>
      </c>
      <c r="K86" s="5">
        <v>12618885955.01</v>
      </c>
      <c r="L86" s="20">
        <f t="shared" si="8"/>
        <v>2.976945360623178E-3</v>
      </c>
      <c r="M86" s="4"/>
      <c r="N86" s="4"/>
      <c r="O86" s="4"/>
      <c r="P86" s="4"/>
      <c r="Q86" s="4"/>
      <c r="R86" s="4"/>
      <c r="S86" s="4"/>
      <c r="T86" s="4"/>
      <c r="U86" s="4"/>
    </row>
    <row r="87" spans="1:21" ht="25.5" x14ac:dyDescent="0.25">
      <c r="A87" s="9" t="s">
        <v>39</v>
      </c>
      <c r="B87" s="10">
        <v>39583667.670000002</v>
      </c>
      <c r="C87" s="5">
        <v>6055459798.3199997</v>
      </c>
      <c r="D87" s="19">
        <f>B87*100/C87</f>
        <v>0.6536855827361272</v>
      </c>
      <c r="E87" s="4" t="s">
        <v>39</v>
      </c>
      <c r="F87" s="6">
        <v>28375621.760000002</v>
      </c>
      <c r="G87" s="5">
        <v>5001116861.2799997</v>
      </c>
      <c r="H87" s="7">
        <f t="shared" si="6"/>
        <v>0.56738569697684416</v>
      </c>
      <c r="I87" s="11" t="s">
        <v>39</v>
      </c>
      <c r="J87" s="5"/>
      <c r="K87" s="5">
        <v>3494329502.1199999</v>
      </c>
      <c r="L87" s="20">
        <f t="shared" si="8"/>
        <v>0</v>
      </c>
      <c r="M87" s="4"/>
      <c r="N87" s="4"/>
      <c r="O87" s="4"/>
      <c r="P87" s="4"/>
      <c r="Q87" s="4"/>
      <c r="R87" s="4"/>
      <c r="S87" s="4"/>
      <c r="T87" s="4"/>
      <c r="U87" s="4"/>
    </row>
    <row r="88" spans="1:21" ht="25.5" x14ac:dyDescent="0.25">
      <c r="A88" s="9" t="s">
        <v>40</v>
      </c>
      <c r="B88" s="10">
        <v>263275079.34999999</v>
      </c>
      <c r="C88" s="5">
        <v>19919634438.549999</v>
      </c>
      <c r="D88" s="19">
        <f>B88*100/C88</f>
        <v>1.3216862998273198</v>
      </c>
      <c r="E88" s="4" t="s">
        <v>40</v>
      </c>
      <c r="F88" s="6">
        <v>114645159.04000001</v>
      </c>
      <c r="G88" s="5">
        <v>15093702386.07</v>
      </c>
      <c r="H88" s="7">
        <f t="shared" si="6"/>
        <v>0.75955624476739514</v>
      </c>
      <c r="I88" s="11" t="s">
        <v>40</v>
      </c>
      <c r="J88" s="5">
        <v>375657.34</v>
      </c>
      <c r="K88" s="5">
        <v>9124556452.8899994</v>
      </c>
      <c r="L88" s="20">
        <f t="shared" si="8"/>
        <v>4.1169928855119189E-3</v>
      </c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25">
      <c r="E89" s="18"/>
    </row>
    <row r="90" spans="1:21" x14ac:dyDescent="0.25">
      <c r="A90" s="12" t="s">
        <v>4</v>
      </c>
      <c r="B90" s="13">
        <v>179461601.11000001</v>
      </c>
    </row>
    <row r="91" spans="1:21" x14ac:dyDescent="0.25">
      <c r="A91" s="12" t="s">
        <v>5</v>
      </c>
      <c r="B91" s="13">
        <v>63440980.979999997</v>
      </c>
    </row>
    <row r="92" spans="1:21" x14ac:dyDescent="0.25">
      <c r="A92" s="12" t="s">
        <v>6</v>
      </c>
      <c r="B92" s="13">
        <v>235623006.75999999</v>
      </c>
    </row>
    <row r="93" spans="1:21" x14ac:dyDescent="0.25">
      <c r="A93" s="12" t="s">
        <v>7</v>
      </c>
      <c r="B93" s="13">
        <v>291996999.39999998</v>
      </c>
    </row>
    <row r="94" spans="1:21" x14ac:dyDescent="0.25">
      <c r="A94" s="12" t="s">
        <v>8</v>
      </c>
      <c r="B94" s="13">
        <v>38410105.609999999</v>
      </c>
    </row>
    <row r="95" spans="1:21" x14ac:dyDescent="0.25">
      <c r="A95" s="14" t="s">
        <v>9</v>
      </c>
      <c r="B95" s="15">
        <v>399233689.01999998</v>
      </c>
    </row>
    <row r="96" spans="1:21" x14ac:dyDescent="0.25">
      <c r="A96" s="14" t="s">
        <v>10</v>
      </c>
      <c r="B96" s="15">
        <v>611948251.42999995</v>
      </c>
    </row>
    <row r="97" spans="1:2" x14ac:dyDescent="0.25">
      <c r="A97" s="12" t="s">
        <v>11</v>
      </c>
      <c r="B97" s="13">
        <v>31919976.469999999</v>
      </c>
    </row>
    <row r="98" spans="1:2" x14ac:dyDescent="0.25">
      <c r="A98" s="12" t="s">
        <v>12</v>
      </c>
      <c r="B98" s="13">
        <v>60789538.740000002</v>
      </c>
    </row>
    <row r="99" spans="1:2" x14ac:dyDescent="0.25">
      <c r="A99" s="12" t="s">
        <v>13</v>
      </c>
      <c r="B99" s="13">
        <v>106534568.98999999</v>
      </c>
    </row>
    <row r="100" spans="1:2" x14ac:dyDescent="0.25">
      <c r="A100" s="14" t="s">
        <v>14</v>
      </c>
      <c r="B100" s="15">
        <v>5068400371.5699997</v>
      </c>
    </row>
    <row r="101" spans="1:2" x14ac:dyDescent="0.25">
      <c r="A101" s="12" t="s">
        <v>15</v>
      </c>
      <c r="B101" s="13">
        <v>28758619.690000001</v>
      </c>
    </row>
    <row r="102" spans="1:2" x14ac:dyDescent="0.25">
      <c r="A102" s="14" t="s">
        <v>16</v>
      </c>
      <c r="B102" s="15">
        <v>320833673.74000001</v>
      </c>
    </row>
    <row r="103" spans="1:2" x14ac:dyDescent="0.25">
      <c r="A103" s="12" t="s">
        <v>17</v>
      </c>
      <c r="B103" s="13">
        <v>52239060.539999999</v>
      </c>
    </row>
    <row r="104" spans="1:2" x14ac:dyDescent="0.25">
      <c r="A104" s="12" t="s">
        <v>18</v>
      </c>
      <c r="B104" s="13">
        <v>44168435.770000003</v>
      </c>
    </row>
    <row r="105" spans="1:2" x14ac:dyDescent="0.25">
      <c r="A105" s="12" t="s">
        <v>19</v>
      </c>
      <c r="B105" s="13">
        <v>382764552.88999999</v>
      </c>
    </row>
    <row r="106" spans="1:2" x14ac:dyDescent="0.25">
      <c r="A106" s="12" t="s">
        <v>20</v>
      </c>
      <c r="B106" s="13">
        <v>145085501.28999999</v>
      </c>
    </row>
    <row r="107" spans="1:2" x14ac:dyDescent="0.25">
      <c r="A107" s="16" t="s">
        <v>21</v>
      </c>
      <c r="B107" s="17">
        <v>11057642925.370001</v>
      </c>
    </row>
    <row r="108" spans="1:2" x14ac:dyDescent="0.25">
      <c r="A108" s="12" t="s">
        <v>22</v>
      </c>
      <c r="B108" s="13"/>
    </row>
    <row r="109" spans="1:2" x14ac:dyDescent="0.25">
      <c r="A109" s="12" t="s">
        <v>23</v>
      </c>
      <c r="B109" s="13">
        <v>19308710.359999999</v>
      </c>
    </row>
    <row r="110" spans="1:2" x14ac:dyDescent="0.25">
      <c r="A110" s="12" t="s">
        <v>24</v>
      </c>
      <c r="B110" s="13">
        <v>34599427.899999999</v>
      </c>
    </row>
    <row r="111" spans="1:2" x14ac:dyDescent="0.25">
      <c r="A111" s="12" t="s">
        <v>25</v>
      </c>
      <c r="B111" s="13">
        <v>29884806</v>
      </c>
    </row>
    <row r="112" spans="1:2" x14ac:dyDescent="0.25">
      <c r="A112" s="12" t="s">
        <v>26</v>
      </c>
      <c r="B112" s="13">
        <v>130869637.31</v>
      </c>
    </row>
    <row r="113" spans="1:2" x14ac:dyDescent="0.25">
      <c r="A113" s="12" t="s">
        <v>27</v>
      </c>
      <c r="B113" s="13">
        <v>161329599.86000001</v>
      </c>
    </row>
    <row r="114" spans="1:2" x14ac:dyDescent="0.25">
      <c r="A114" s="14" t="s">
        <v>28</v>
      </c>
      <c r="B114" s="15">
        <v>1129630054.8</v>
      </c>
    </row>
    <row r="115" spans="1:2" x14ac:dyDescent="0.25">
      <c r="A115" s="12" t="s">
        <v>29</v>
      </c>
      <c r="B115" s="13">
        <v>21198682.780000001</v>
      </c>
    </row>
    <row r="116" spans="1:2" x14ac:dyDescent="0.25">
      <c r="A116" s="12" t="s">
        <v>30</v>
      </c>
      <c r="B116" s="13">
        <v>78727830</v>
      </c>
    </row>
    <row r="117" spans="1:2" x14ac:dyDescent="0.25">
      <c r="A117" s="12" t="s">
        <v>31</v>
      </c>
      <c r="B117" s="13">
        <v>28121492.100000001</v>
      </c>
    </row>
    <row r="118" spans="1:2" x14ac:dyDescent="0.25">
      <c r="A118" s="16" t="s">
        <v>32</v>
      </c>
      <c r="B118" s="17">
        <v>3888662663.6100001</v>
      </c>
    </row>
    <row r="119" spans="1:2" x14ac:dyDescent="0.25">
      <c r="A119" s="12" t="s">
        <v>33</v>
      </c>
      <c r="B119" s="13">
        <v>2823138.02</v>
      </c>
    </row>
    <row r="120" spans="1:2" x14ac:dyDescent="0.25">
      <c r="A120" s="12" t="s">
        <v>34</v>
      </c>
      <c r="B120" s="13">
        <v>6617807.6200000001</v>
      </c>
    </row>
    <row r="121" spans="1:2" x14ac:dyDescent="0.25">
      <c r="A121" s="4" t="s">
        <v>35</v>
      </c>
      <c r="B121" s="6">
        <v>861886275.42999995</v>
      </c>
    </row>
    <row r="122" spans="1:2" x14ac:dyDescent="0.25">
      <c r="A122" s="12" t="s">
        <v>36</v>
      </c>
      <c r="B122" s="13">
        <v>154019097.97</v>
      </c>
    </row>
    <row r="123" spans="1:2" x14ac:dyDescent="0.25">
      <c r="A123" s="12" t="s">
        <v>37</v>
      </c>
      <c r="B123" s="13">
        <v>322026088.20999998</v>
      </c>
    </row>
    <row r="124" spans="1:2" x14ac:dyDescent="0.25">
      <c r="A124" s="12" t="s">
        <v>38</v>
      </c>
      <c r="B124" s="13">
        <v>273687163.32999998</v>
      </c>
    </row>
    <row r="125" spans="1:2" x14ac:dyDescent="0.25">
      <c r="A125" s="12" t="s">
        <v>41</v>
      </c>
      <c r="B125" s="13">
        <v>36637245.009999998</v>
      </c>
    </row>
    <row r="126" spans="1:2" x14ac:dyDescent="0.25">
      <c r="A126" s="12" t="s">
        <v>42</v>
      </c>
      <c r="B126" s="13">
        <v>47255082.259999998</v>
      </c>
    </row>
    <row r="127" spans="1:2" x14ac:dyDescent="0.25">
      <c r="A127" s="12" t="s">
        <v>43</v>
      </c>
      <c r="B127" s="13">
        <v>26991186.030000001</v>
      </c>
    </row>
    <row r="128" spans="1:2" x14ac:dyDescent="0.25">
      <c r="A128" s="12" t="s">
        <v>44</v>
      </c>
      <c r="B128" s="13">
        <v>18103411.579999998</v>
      </c>
    </row>
    <row r="129" spans="1:2" x14ac:dyDescent="0.25">
      <c r="A129" s="12" t="s">
        <v>45</v>
      </c>
      <c r="B129" s="13">
        <v>9868183.7599999998</v>
      </c>
    </row>
    <row r="130" spans="1:2" x14ac:dyDescent="0.25">
      <c r="A130" s="12" t="s">
        <v>46</v>
      </c>
      <c r="B130" s="13">
        <v>69409032.870000005</v>
      </c>
    </row>
    <row r="131" spans="1:2" x14ac:dyDescent="0.25">
      <c r="A131" s="12" t="s">
        <v>47</v>
      </c>
      <c r="B131" s="13">
        <v>28598310.789999999</v>
      </c>
    </row>
    <row r="132" spans="1:2" x14ac:dyDescent="0.25">
      <c r="A132" s="12" t="s">
        <v>48</v>
      </c>
      <c r="B132" s="13">
        <v>2544996.4900000002</v>
      </c>
    </row>
    <row r="133" spans="1:2" x14ac:dyDescent="0.25">
      <c r="A133" s="12" t="s">
        <v>49</v>
      </c>
      <c r="B133" s="13">
        <v>416501749.01999998</v>
      </c>
    </row>
    <row r="134" spans="1:2" x14ac:dyDescent="0.25">
      <c r="A134" s="12" t="s">
        <v>50</v>
      </c>
      <c r="B134" s="13">
        <v>3234131.05</v>
      </c>
    </row>
    <row r="135" spans="1:2" x14ac:dyDescent="0.25">
      <c r="A135" s="12" t="s">
        <v>51</v>
      </c>
      <c r="B135" s="13">
        <v>43532781.969999999</v>
      </c>
    </row>
    <row r="136" spans="1:2" x14ac:dyDescent="0.25">
      <c r="A136" s="12" t="s">
        <v>52</v>
      </c>
      <c r="B136" s="13">
        <v>479414455.83999997</v>
      </c>
    </row>
    <row r="137" spans="1:2" x14ac:dyDescent="0.25">
      <c r="A137" s="12" t="s">
        <v>53</v>
      </c>
      <c r="B137" s="13">
        <v>52579057.420000002</v>
      </c>
    </row>
    <row r="138" spans="1:2" x14ac:dyDescent="0.25">
      <c r="A138" s="12" t="s">
        <v>54</v>
      </c>
      <c r="B138" s="13">
        <v>10637472.73</v>
      </c>
    </row>
    <row r="139" spans="1:2" x14ac:dyDescent="0.25">
      <c r="A139" s="12" t="s">
        <v>55</v>
      </c>
      <c r="B139" s="13">
        <v>298282674.79000002</v>
      </c>
    </row>
    <row r="140" spans="1:2" x14ac:dyDescent="0.25">
      <c r="A140" s="12" t="s">
        <v>56</v>
      </c>
      <c r="B140" s="13">
        <v>12958596.75</v>
      </c>
    </row>
    <row r="141" spans="1:2" x14ac:dyDescent="0.25">
      <c r="A141" s="12" t="s">
        <v>57</v>
      </c>
      <c r="B141" s="13">
        <v>629429334.65999997</v>
      </c>
    </row>
    <row r="142" spans="1:2" x14ac:dyDescent="0.25">
      <c r="A142" s="12" t="s">
        <v>58</v>
      </c>
      <c r="B142" s="13">
        <v>210082836.02000001</v>
      </c>
    </row>
    <row r="143" spans="1:2" x14ac:dyDescent="0.25">
      <c r="A143" s="12" t="s">
        <v>59</v>
      </c>
      <c r="B143" s="13">
        <v>49575062.109999999</v>
      </c>
    </row>
    <row r="144" spans="1:2" x14ac:dyDescent="0.25">
      <c r="A144" s="12" t="s">
        <v>60</v>
      </c>
      <c r="B144" s="13">
        <v>145544301.88999999</v>
      </c>
    </row>
    <row r="145" spans="1:2" x14ac:dyDescent="0.25">
      <c r="A145" s="12" t="s">
        <v>61</v>
      </c>
      <c r="B145" s="13">
        <v>113494839.17</v>
      </c>
    </row>
    <row r="146" spans="1:2" x14ac:dyDescent="0.25">
      <c r="A146" s="12" t="s">
        <v>62</v>
      </c>
      <c r="B146" s="13">
        <v>61695123.630000003</v>
      </c>
    </row>
    <row r="147" spans="1:2" x14ac:dyDescent="0.25">
      <c r="A147" s="12" t="s">
        <v>63</v>
      </c>
      <c r="B147" s="13">
        <v>18554987.870000001</v>
      </c>
    </row>
    <row r="148" spans="1:2" x14ac:dyDescent="0.25">
      <c r="A148" s="12" t="s">
        <v>64</v>
      </c>
      <c r="B148" s="13">
        <v>735546691.83000004</v>
      </c>
    </row>
    <row r="149" spans="1:2" x14ac:dyDescent="0.25">
      <c r="A149" s="12" t="s">
        <v>65</v>
      </c>
      <c r="B149" s="13">
        <v>272485245.05000001</v>
      </c>
    </row>
    <row r="150" spans="1:2" x14ac:dyDescent="0.25">
      <c r="A150" s="12" t="s">
        <v>66</v>
      </c>
      <c r="B150" s="13">
        <v>337330999.89999998</v>
      </c>
    </row>
    <row r="151" spans="1:2" x14ac:dyDescent="0.25">
      <c r="A151" s="12" t="s">
        <v>67</v>
      </c>
      <c r="B151" s="13">
        <v>767421964.96000004</v>
      </c>
    </row>
    <row r="152" spans="1:2" x14ac:dyDescent="0.25">
      <c r="A152" s="12" t="s">
        <v>68</v>
      </c>
      <c r="B152" s="13">
        <v>460301868.97000003</v>
      </c>
    </row>
    <row r="153" spans="1:2" x14ac:dyDescent="0.25">
      <c r="A153" s="12" t="s">
        <v>69</v>
      </c>
      <c r="B153" s="13">
        <v>8520638.6400000006</v>
      </c>
    </row>
    <row r="154" spans="1:2" x14ac:dyDescent="0.25">
      <c r="A154" s="12" t="s">
        <v>70</v>
      </c>
      <c r="B154" s="13">
        <v>3305847.7</v>
      </c>
    </row>
    <row r="155" spans="1:2" x14ac:dyDescent="0.25">
      <c r="A155" s="12" t="s">
        <v>71</v>
      </c>
      <c r="B155" s="13">
        <v>49159367.939999998</v>
      </c>
    </row>
    <row r="156" spans="1:2" x14ac:dyDescent="0.25">
      <c r="A156" s="12" t="s">
        <v>72</v>
      </c>
      <c r="B156" s="13">
        <v>221886545.25999999</v>
      </c>
    </row>
    <row r="157" spans="1:2" x14ac:dyDescent="0.25">
      <c r="A157" s="12" t="s">
        <v>73</v>
      </c>
      <c r="B157" s="13">
        <v>348330948.37</v>
      </c>
    </row>
    <row r="158" spans="1:2" x14ac:dyDescent="0.25">
      <c r="A158" s="12" t="s">
        <v>74</v>
      </c>
      <c r="B158" s="13">
        <v>102293946.19</v>
      </c>
    </row>
    <row r="159" spans="1:2" x14ac:dyDescent="0.25">
      <c r="A159" s="12" t="s">
        <v>75</v>
      </c>
      <c r="B159" s="13">
        <v>385706845.25999999</v>
      </c>
    </row>
    <row r="160" spans="1:2" x14ac:dyDescent="0.25">
      <c r="A160" s="12" t="s">
        <v>76</v>
      </c>
      <c r="B160" s="13">
        <v>82910174.540000007</v>
      </c>
    </row>
    <row r="161" spans="1:2" x14ac:dyDescent="0.25">
      <c r="A161" s="12" t="s">
        <v>77</v>
      </c>
      <c r="B161" s="13">
        <v>64452899.640000001</v>
      </c>
    </row>
    <row r="162" spans="1:2" x14ac:dyDescent="0.25">
      <c r="A162" s="12" t="s">
        <v>78</v>
      </c>
      <c r="B162" s="13">
        <v>12363402.09</v>
      </c>
    </row>
    <row r="163" spans="1:2" x14ac:dyDescent="0.25">
      <c r="A163" s="12" t="s">
        <v>79</v>
      </c>
      <c r="B163" s="13">
        <v>13163563.109999999</v>
      </c>
    </row>
    <row r="164" spans="1:2" x14ac:dyDescent="0.25">
      <c r="A164" s="12" t="s">
        <v>80</v>
      </c>
      <c r="B164" s="13">
        <v>40667423.390000001</v>
      </c>
    </row>
    <row r="165" spans="1:2" x14ac:dyDescent="0.25">
      <c r="A165" s="12" t="s">
        <v>81</v>
      </c>
      <c r="B165" s="13">
        <v>259159843.06999999</v>
      </c>
    </row>
    <row r="166" spans="1:2" x14ac:dyDescent="0.25">
      <c r="A166" s="12" t="s">
        <v>82</v>
      </c>
      <c r="B166" s="13">
        <v>176717213.03</v>
      </c>
    </row>
    <row r="167" spans="1:2" x14ac:dyDescent="0.25">
      <c r="A167" s="12" t="s">
        <v>83</v>
      </c>
      <c r="B167" s="13">
        <v>228523506.63</v>
      </c>
    </row>
    <row r="168" spans="1:2" x14ac:dyDescent="0.25">
      <c r="A168" s="12" t="s">
        <v>84</v>
      </c>
      <c r="B168" s="13">
        <v>59832490.159999996</v>
      </c>
    </row>
    <row r="169" spans="1:2" x14ac:dyDescent="0.25">
      <c r="A169" s="12" t="s">
        <v>85</v>
      </c>
      <c r="B169" s="13">
        <v>89608127.739999995</v>
      </c>
    </row>
    <row r="170" spans="1:2" x14ac:dyDescent="0.25">
      <c r="A170" s="12" t="s">
        <v>86</v>
      </c>
      <c r="B170" s="13">
        <v>121457713.03</v>
      </c>
    </row>
    <row r="171" spans="1:2" x14ac:dyDescent="0.25">
      <c r="A171" s="12" t="s">
        <v>87</v>
      </c>
      <c r="B171" s="13">
        <v>120407412.88</v>
      </c>
    </row>
    <row r="172" spans="1:2" x14ac:dyDescent="0.25">
      <c r="A172" s="12" t="s">
        <v>88</v>
      </c>
      <c r="B172" s="13">
        <v>6586703.5999999996</v>
      </c>
    </row>
    <row r="173" spans="1:2" x14ac:dyDescent="0.25">
      <c r="A173" s="12" t="s">
        <v>89</v>
      </c>
      <c r="B173" s="13">
        <v>22444565</v>
      </c>
    </row>
    <row r="174" spans="1:2" x14ac:dyDescent="0.25">
      <c r="A174" s="12" t="s">
        <v>39</v>
      </c>
      <c r="B174" s="13">
        <v>28375621.760000002</v>
      </c>
    </row>
    <row r="175" spans="1:2" x14ac:dyDescent="0.25">
      <c r="A175" s="12" t="s">
        <v>40</v>
      </c>
      <c r="B175" s="13">
        <v>114645159.04000001</v>
      </c>
    </row>
  </sheetData>
  <conditionalFormatting sqref="H2:H88">
    <cfRule type="cellIs" dxfId="2" priority="3" operator="greaterThan">
      <formula>2</formula>
    </cfRule>
  </conditionalFormatting>
  <conditionalFormatting sqref="Q2:Q85">
    <cfRule type="cellIs" dxfId="1" priority="1" operator="greaterThan">
      <formula>0.6</formula>
    </cfRule>
  </conditionalFormatting>
  <conditionalFormatting sqref="L2:L88">
    <cfRule type="cellIs" dxfId="0" priority="31" operator="greaterThan">
      <formula>$F$76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activeCell="D2" sqref="D2"/>
    </sheetView>
  </sheetViews>
  <sheetFormatPr defaultRowHeight="15" x14ac:dyDescent="0.25"/>
  <cols>
    <col min="1" max="1" width="14.140625" customWidth="1"/>
    <col min="2" max="2" width="23.140625" customWidth="1"/>
    <col min="3" max="3" width="24.7109375" customWidth="1"/>
    <col min="4" max="4" width="22.5703125" customWidth="1"/>
    <col min="5" max="5" width="21.7109375" customWidth="1"/>
    <col min="6" max="6" width="19.85546875" customWidth="1"/>
    <col min="8" max="8" width="10" bestFit="1" customWidth="1"/>
    <col min="10" max="10" width="23.85546875" customWidth="1"/>
  </cols>
  <sheetData>
    <row r="1" spans="1:10" ht="105" x14ac:dyDescent="0.25">
      <c r="A1" s="1" t="s">
        <v>0</v>
      </c>
      <c r="B1" s="2" t="s">
        <v>96</v>
      </c>
      <c r="C1" s="2" t="s">
        <v>97</v>
      </c>
      <c r="D1" s="2" t="s">
        <v>98</v>
      </c>
      <c r="E1" s="2" t="s">
        <v>99</v>
      </c>
      <c r="F1" s="2" t="s">
        <v>100</v>
      </c>
      <c r="J1" s="5"/>
    </row>
    <row r="2" spans="1:10" ht="38.25" x14ac:dyDescent="0.25">
      <c r="A2" s="9" t="s">
        <v>4</v>
      </c>
      <c r="B2" s="10">
        <f>211848660.25/1000000</f>
        <v>211.84866024999999</v>
      </c>
      <c r="C2" s="6">
        <f>179461601.11/1000000</f>
        <v>179.46160111</v>
      </c>
      <c r="D2" s="5">
        <f>34411683.85/1000000</f>
        <v>34.411683850000003</v>
      </c>
      <c r="E2" s="5">
        <f>47322965.27/1000000</f>
        <v>47.322965270000005</v>
      </c>
      <c r="F2" s="5">
        <f>100162201.78/1000000</f>
        <v>100.16220178</v>
      </c>
    </row>
    <row r="3" spans="1:10" ht="25.5" x14ac:dyDescent="0.25">
      <c r="A3" s="9" t="s">
        <v>5</v>
      </c>
      <c r="B3" s="10">
        <f>71941373.08/1000000</f>
        <v>71.941373080000005</v>
      </c>
      <c r="C3" s="6">
        <f>63440980.98/1000000</f>
        <v>63.440980979999999</v>
      </c>
      <c r="D3" s="5">
        <f>27887636.18/1000000</f>
        <v>27.887636180000001</v>
      </c>
      <c r="E3" s="5">
        <f>31636907.35/1000000</f>
        <v>31.636907350000001</v>
      </c>
      <c r="F3" s="5">
        <f>96535991.24/1000000</f>
        <v>96.535991240000001</v>
      </c>
    </row>
    <row r="4" spans="1:10" ht="38.25" x14ac:dyDescent="0.25">
      <c r="A4" s="9" t="s">
        <v>6</v>
      </c>
      <c r="B4" s="10">
        <f>268330072.67/1000000</f>
        <v>268.33007266999999</v>
      </c>
      <c r="C4" s="6">
        <f>235623006.76/1000000</f>
        <v>235.62300675999998</v>
      </c>
      <c r="D4" s="5">
        <f>83907233.29/1000000</f>
        <v>83.907233290000008</v>
      </c>
      <c r="E4" s="5">
        <f>101027505.25/1000000</f>
        <v>101.02750525</v>
      </c>
      <c r="F4" s="5">
        <f>139697952.06/1000000</f>
        <v>139.69795206000001</v>
      </c>
    </row>
    <row r="5" spans="1:10" ht="38.25" x14ac:dyDescent="0.25">
      <c r="A5" s="9" t="s">
        <v>7</v>
      </c>
      <c r="B5" s="10">
        <f>317215141.13/1000000</f>
        <v>317.21514113000001</v>
      </c>
      <c r="C5" s="6">
        <f>291996999.4/1000000</f>
        <v>291.99699939999999</v>
      </c>
      <c r="D5" s="5">
        <f>68649136.81/1000000</f>
        <v>68.649136810000002</v>
      </c>
      <c r="E5" s="5">
        <f>75062488.4/1000000</f>
        <v>75.062488400000007</v>
      </c>
      <c r="F5" s="5">
        <f>156395268.94/1000000</f>
        <v>156.39526893999999</v>
      </c>
    </row>
    <row r="6" spans="1:10" ht="25.5" x14ac:dyDescent="0.25">
      <c r="A6" s="9" t="s">
        <v>8</v>
      </c>
      <c r="B6" s="10">
        <f>66284873.61/1000000</f>
        <v>66.284873610000005</v>
      </c>
      <c r="C6" s="24">
        <f>38410105.61/1000000</f>
        <v>38.410105610000002</v>
      </c>
      <c r="D6" s="5">
        <f>20011327.32/1000000</f>
        <v>20.011327319999999</v>
      </c>
      <c r="E6" s="5">
        <f>17361286.7/1000000</f>
        <v>17.361286700000001</v>
      </c>
      <c r="F6" s="5">
        <f>177895316.76/1000000</f>
        <v>177.89531675999999</v>
      </c>
    </row>
    <row r="7" spans="1:10" ht="25.5" x14ac:dyDescent="0.25">
      <c r="A7" s="9" t="s">
        <v>9</v>
      </c>
      <c r="B7" s="10">
        <f>487927890.48/1000000</f>
        <v>487.92789048000003</v>
      </c>
      <c r="C7" s="6">
        <f>399233689.02/1000000</f>
        <v>399.23368901999999</v>
      </c>
      <c r="D7" s="5">
        <f>89662578.74/1000000</f>
        <v>89.662578740000001</v>
      </c>
      <c r="E7" s="5">
        <f>80316444.84/1000000</f>
        <v>80.316444840000003</v>
      </c>
      <c r="F7" s="5">
        <f>101301499.15/1000000</f>
        <v>101.30149915000001</v>
      </c>
    </row>
    <row r="8" spans="1:10" ht="25.5" x14ac:dyDescent="0.25">
      <c r="A8" s="9" t="s">
        <v>10</v>
      </c>
      <c r="B8" s="10">
        <f>662866934.76/1000000</f>
        <v>662.86693475999994</v>
      </c>
      <c r="C8" s="6">
        <f>611948251.43/1000000</f>
        <v>611.94825142999991</v>
      </c>
      <c r="D8" s="5">
        <f>92830426.66/1000000</f>
        <v>92.830426660000001</v>
      </c>
      <c r="E8" s="5">
        <f>75828280.25/1000000</f>
        <v>75.828280250000006</v>
      </c>
      <c r="F8" s="5">
        <f>97973558.09/1000000</f>
        <v>97.973558089999997</v>
      </c>
    </row>
    <row r="9" spans="1:10" ht="38.25" x14ac:dyDescent="0.25">
      <c r="A9" s="9" t="s">
        <v>11</v>
      </c>
      <c r="B9" s="10">
        <f>51207163.6/1000000</f>
        <v>51.207163600000001</v>
      </c>
      <c r="C9" s="6">
        <f>31919976.47/1000000</f>
        <v>31.919976469999998</v>
      </c>
      <c r="D9" s="5">
        <f>11260203.52/1000000</f>
        <v>11.260203519999999</v>
      </c>
      <c r="E9" s="5">
        <f>13550053.18/1000000</f>
        <v>13.550053179999999</v>
      </c>
      <c r="F9" s="5">
        <f>75300847.89/1000000</f>
        <v>75.30084789</v>
      </c>
    </row>
    <row r="10" spans="1:10" ht="25.5" x14ac:dyDescent="0.25">
      <c r="A10" s="9" t="s">
        <v>12</v>
      </c>
      <c r="B10" s="10">
        <f>77964814.6/1000000</f>
        <v>77.964814599999997</v>
      </c>
      <c r="C10" s="6">
        <f>60789538.74/1000000</f>
        <v>60.789538740000005</v>
      </c>
      <c r="D10" s="5">
        <f>19255215.58/1000000</f>
        <v>19.255215579999998</v>
      </c>
      <c r="E10" s="5">
        <f>21703773.32/1000000</f>
        <v>21.70377332</v>
      </c>
      <c r="F10" s="5">
        <f>159279409.21/1000000</f>
        <v>159.27940921000001</v>
      </c>
    </row>
    <row r="11" spans="1:10" ht="25.5" x14ac:dyDescent="0.25">
      <c r="A11" s="9" t="s">
        <v>13</v>
      </c>
      <c r="B11" s="10">
        <f>133695830.03/1000000</f>
        <v>133.69583003</v>
      </c>
      <c r="C11" s="6">
        <f>106534568.99/1000000</f>
        <v>106.53456899</v>
      </c>
      <c r="D11" s="5">
        <f>37555636/1000000</f>
        <v>37.555636</v>
      </c>
      <c r="E11" s="5">
        <f>53291145.28/1000000</f>
        <v>53.291145280000002</v>
      </c>
      <c r="F11" s="5">
        <f>61857470.39/1000000</f>
        <v>61.857470390000003</v>
      </c>
    </row>
    <row r="12" spans="1:10" ht="25.5" x14ac:dyDescent="0.25">
      <c r="A12" s="9" t="s">
        <v>14</v>
      </c>
      <c r="B12" s="10">
        <f>6271911398.3/1000000</f>
        <v>6271.9113982999997</v>
      </c>
      <c r="C12" s="6">
        <f>5068400371.57/1000000</f>
        <v>5068.4003715700001</v>
      </c>
      <c r="D12" s="5">
        <f>1745720712.2/1000000</f>
        <v>1745.7207122</v>
      </c>
      <c r="E12" s="5">
        <f>1635904138.24/1000000</f>
        <v>1635.9041382400001</v>
      </c>
      <c r="F12" s="5">
        <f>558445536.89/1000000</f>
        <v>558.44553688999997</v>
      </c>
    </row>
    <row r="13" spans="1:10" ht="25.5" x14ac:dyDescent="0.25">
      <c r="A13" s="9" t="s">
        <v>15</v>
      </c>
      <c r="B13" s="10">
        <f>46340671.94/1000000</f>
        <v>46.34067194</v>
      </c>
      <c r="C13" s="6">
        <f>28758619.69/1000000</f>
        <v>28.75861969</v>
      </c>
      <c r="D13" s="5">
        <f>12462073.65/1000000</f>
        <v>12.462073650000001</v>
      </c>
      <c r="E13" s="5">
        <f>16884340.02/1000000</f>
        <v>16.88434002</v>
      </c>
      <c r="F13" s="5">
        <f>85576674.03/1000000</f>
        <v>85.576674030000007</v>
      </c>
    </row>
    <row r="14" spans="1:10" ht="25.5" x14ac:dyDescent="0.25">
      <c r="A14" s="9" t="s">
        <v>16</v>
      </c>
      <c r="B14" s="10">
        <f>522768164.06/1000000</f>
        <v>522.76816406</v>
      </c>
      <c r="C14" s="6">
        <f>320833673.74/1000000</f>
        <v>320.83367373999999</v>
      </c>
      <c r="D14" s="5">
        <f>94471372.46/1000000</f>
        <v>94.471372459999998</v>
      </c>
      <c r="E14" s="5">
        <f>120582611.67/1000000</f>
        <v>120.58261167000001</v>
      </c>
      <c r="F14" s="5">
        <f>115776957.96/1000000</f>
        <v>115.77695795999999</v>
      </c>
    </row>
    <row r="15" spans="1:10" ht="25.5" x14ac:dyDescent="0.25">
      <c r="A15" s="9" t="s">
        <v>17</v>
      </c>
      <c r="B15" s="10">
        <f>88740344.39/1000000</f>
        <v>88.740344390000004</v>
      </c>
      <c r="C15" s="6">
        <f>52239060.54/1000000</f>
        <v>52.239060539999997</v>
      </c>
      <c r="D15" s="5">
        <f>24788381.75/1000000</f>
        <v>24.788381749999999</v>
      </c>
      <c r="E15" s="5">
        <f>28869476.79/1000000</f>
        <v>28.86947679</v>
      </c>
      <c r="F15" s="5">
        <f>78055602.18/1000000</f>
        <v>78.055602180000008</v>
      </c>
    </row>
    <row r="16" spans="1:10" ht="25.5" x14ac:dyDescent="0.25">
      <c r="A16" s="9" t="s">
        <v>18</v>
      </c>
      <c r="B16" s="10">
        <f>78848326.02/1000000</f>
        <v>78.848326020000002</v>
      </c>
      <c r="C16" s="6">
        <f>44168435.77/1000000</f>
        <v>44.168435770000002</v>
      </c>
      <c r="D16" s="5">
        <f>13503300.44/1000000</f>
        <v>13.50330044</v>
      </c>
      <c r="E16" s="5">
        <f>18712663.41/1000000</f>
        <v>18.712663410000001</v>
      </c>
      <c r="F16" s="5">
        <f>62627144.6/1000000</f>
        <v>62.627144600000001</v>
      </c>
    </row>
    <row r="17" spans="1:6" ht="25.5" x14ac:dyDescent="0.25">
      <c r="A17" s="9" t="s">
        <v>19</v>
      </c>
      <c r="B17" s="10">
        <f>486231279.11/1000000</f>
        <v>486.23127911</v>
      </c>
      <c r="C17" s="6">
        <f>382764552.89/1000000</f>
        <v>382.76455289</v>
      </c>
      <c r="D17" s="5">
        <f>113177689.21/1000000</f>
        <v>113.17768921</v>
      </c>
      <c r="E17" s="5">
        <f>135628640.46/1000000</f>
        <v>135.62864046000001</v>
      </c>
      <c r="F17" s="5">
        <f>116431149.23/1000000</f>
        <v>116.43114923</v>
      </c>
    </row>
    <row r="18" spans="1:6" ht="38.25" x14ac:dyDescent="0.25">
      <c r="A18" s="9" t="s">
        <v>20</v>
      </c>
      <c r="B18" s="10">
        <f>172660229.39/1000000</f>
        <v>172.66022938999998</v>
      </c>
      <c r="C18" s="6">
        <f>145085501.29/1000000</f>
        <v>145.08550129</v>
      </c>
      <c r="D18" s="5">
        <f>49069786.59/1000000</f>
        <v>49.069786590000007</v>
      </c>
      <c r="E18" s="5">
        <f>58253314.98/1000000</f>
        <v>58.253314979999999</v>
      </c>
      <c r="F18" s="5">
        <f>175641315.05/1000000</f>
        <v>175.64131505</v>
      </c>
    </row>
    <row r="19" spans="1:6" x14ac:dyDescent="0.25">
      <c r="A19" s="9" t="s">
        <v>21</v>
      </c>
      <c r="B19" s="10">
        <f>14370232552.56/1000000</f>
        <v>14370.232552559999</v>
      </c>
      <c r="C19" s="6">
        <f>11057642925.37/1000000</f>
        <v>11057.642925370001</v>
      </c>
      <c r="D19" s="5">
        <f>2914810225.16/1000000</f>
        <v>2914.8102251599998</v>
      </c>
      <c r="E19" s="5">
        <f>1435235350.49/1000000</f>
        <v>1435.23535049</v>
      </c>
      <c r="F19" s="5">
        <f>1526873309.51/1000000</f>
        <v>1526.8733095099999</v>
      </c>
    </row>
    <row r="20" spans="1:6" x14ac:dyDescent="0.25">
      <c r="A20" s="9" t="s">
        <v>22</v>
      </c>
      <c r="B20" s="10"/>
      <c r="C20" s="6"/>
      <c r="D20" s="5"/>
      <c r="E20" s="5"/>
      <c r="F20" s="5">
        <f>118641.72/1000000</f>
        <v>0.11864172000000001</v>
      </c>
    </row>
    <row r="21" spans="1:6" ht="25.5" x14ac:dyDescent="0.25">
      <c r="A21" s="9" t="s">
        <v>23</v>
      </c>
      <c r="B21" s="10">
        <f>48614156.26/1000000</f>
        <v>48.614156260000001</v>
      </c>
      <c r="C21" s="6">
        <f>19308710.36/1000000</f>
        <v>19.308710359999999</v>
      </c>
      <c r="D21" s="5">
        <f>9180902.18/1000000</f>
        <v>9.1809021800000004</v>
      </c>
      <c r="E21" s="5">
        <f>12764426.62/1000000</f>
        <v>12.76442662</v>
      </c>
      <c r="F21" s="5">
        <f>42197945.02/1000000</f>
        <v>42.197945020000006</v>
      </c>
    </row>
    <row r="22" spans="1:6" ht="25.5" x14ac:dyDescent="0.25">
      <c r="A22" s="9" t="s">
        <v>24</v>
      </c>
      <c r="B22" s="10">
        <f>52742806.43/1000000</f>
        <v>52.742806430000002</v>
      </c>
      <c r="C22" s="6">
        <f>34599427.9/1000000</f>
        <v>34.599427900000002</v>
      </c>
      <c r="D22" s="5">
        <f>12950885.83/1000000</f>
        <v>12.950885830000001</v>
      </c>
      <c r="E22" s="5">
        <f>13031013.07/1000000</f>
        <v>13.03101307</v>
      </c>
      <c r="F22" s="5">
        <f>171863127.44/1000000</f>
        <v>171.86312744</v>
      </c>
    </row>
    <row r="23" spans="1:6" ht="38.25" x14ac:dyDescent="0.25">
      <c r="A23" s="9" t="s">
        <v>25</v>
      </c>
      <c r="B23" s="10">
        <f>62131135.28/1000000</f>
        <v>62.131135280000002</v>
      </c>
      <c r="C23" s="6">
        <f>29884806/1000000</f>
        <v>29.884806000000001</v>
      </c>
      <c r="D23" s="5">
        <f>10722291.71/1000000</f>
        <v>10.72229171</v>
      </c>
      <c r="E23" s="5">
        <f>15276576.17/1000000</f>
        <v>15.27657617</v>
      </c>
      <c r="F23" s="5">
        <f>175879402.68/1000000</f>
        <v>175.87940268</v>
      </c>
    </row>
    <row r="24" spans="1:6" ht="38.25" x14ac:dyDescent="0.25">
      <c r="A24" s="9" t="s">
        <v>26</v>
      </c>
      <c r="B24" s="10">
        <f>205033245.84/1000000</f>
        <v>205.03324584000001</v>
      </c>
      <c r="C24" s="6">
        <f>130869637.31/1000000</f>
        <v>130.86963731</v>
      </c>
      <c r="D24" s="5">
        <f>22082030.18/1000000</f>
        <v>22.08203018</v>
      </c>
      <c r="E24" s="5">
        <f>34264199.7/1000000</f>
        <v>34.264199700000006</v>
      </c>
      <c r="F24" s="5">
        <f>188906185.46/1000000</f>
        <v>188.90618546000002</v>
      </c>
    </row>
    <row r="25" spans="1:6" ht="38.25" x14ac:dyDescent="0.25">
      <c r="A25" s="9" t="s">
        <v>27</v>
      </c>
      <c r="B25" s="10">
        <f>242981415.6/1000000</f>
        <v>242.98141559999999</v>
      </c>
      <c r="C25" s="6">
        <f>161329599.86/1000000</f>
        <v>161.32959986</v>
      </c>
      <c r="D25" s="5">
        <f>42292656.37/1000000</f>
        <v>42.292656369999996</v>
      </c>
      <c r="E25" s="5">
        <f>67675937.02/1000000</f>
        <v>67.675937019999992</v>
      </c>
      <c r="F25" s="5">
        <f>66165449.08/1000000</f>
        <v>66.165449080000002</v>
      </c>
    </row>
    <row r="26" spans="1:6" ht="38.25" x14ac:dyDescent="0.25">
      <c r="A26" s="9" t="s">
        <v>28</v>
      </c>
      <c r="B26" s="10">
        <f>1609785305.28/1000000</f>
        <v>1609.7853052799999</v>
      </c>
      <c r="C26" s="6">
        <f>1129630054.8/1000000</f>
        <v>1129.6300547999999</v>
      </c>
      <c r="D26" s="5">
        <f>115862038.12/1000000</f>
        <v>115.86203812000001</v>
      </c>
      <c r="E26" s="5">
        <f>111428254/1000000</f>
        <v>111.428254</v>
      </c>
      <c r="F26" s="5">
        <f>120755090.03/1000000</f>
        <v>120.75509003000001</v>
      </c>
    </row>
    <row r="27" spans="1:6" ht="38.25" x14ac:dyDescent="0.25">
      <c r="A27" s="9" t="s">
        <v>29</v>
      </c>
      <c r="B27" s="10">
        <f>32192678.38/1000000</f>
        <v>32.192678379999997</v>
      </c>
      <c r="C27" s="6">
        <f>21198682.78/1000000</f>
        <v>21.198682780000002</v>
      </c>
      <c r="D27" s="5">
        <f>12050611.06/1000000</f>
        <v>12.050611060000001</v>
      </c>
      <c r="E27" s="5">
        <f>15364005.72/1000000</f>
        <v>15.364005720000002</v>
      </c>
      <c r="F27" s="5">
        <f>78975228.41/1000000</f>
        <v>78.97522841</v>
      </c>
    </row>
    <row r="28" spans="1:6" ht="38.25" x14ac:dyDescent="0.25">
      <c r="A28" s="9" t="s">
        <v>30</v>
      </c>
      <c r="B28" s="10">
        <f>102697319.99/1000000</f>
        <v>102.69731999</v>
      </c>
      <c r="C28" s="6">
        <f>78727830/1000000</f>
        <v>78.727829999999997</v>
      </c>
      <c r="D28" s="5">
        <f>22306492.28/1000000</f>
        <v>22.306492280000001</v>
      </c>
      <c r="E28" s="5">
        <f>28557054.37/1000000</f>
        <v>28.557054369999999</v>
      </c>
      <c r="F28" s="5">
        <f>30756219/1000000</f>
        <v>30.756219000000002</v>
      </c>
    </row>
    <row r="29" spans="1:6" ht="25.5" x14ac:dyDescent="0.25">
      <c r="A29" s="9" t="s">
        <v>31</v>
      </c>
      <c r="B29" s="10">
        <f>48051254.16/1000000</f>
        <v>48.051254159999999</v>
      </c>
      <c r="C29" s="6">
        <f>28121492.1/1000000</f>
        <v>28.121492100000001</v>
      </c>
      <c r="D29" s="5">
        <f>15819418.74/1000000</f>
        <v>15.81941874</v>
      </c>
      <c r="E29" s="5">
        <f>20943677.14/1000000</f>
        <v>20.943677140000002</v>
      </c>
      <c r="F29" s="5">
        <f>43119340.41/1000000</f>
        <v>43.11934041</v>
      </c>
    </row>
    <row r="30" spans="1:6" ht="25.5" x14ac:dyDescent="0.25">
      <c r="A30" s="9" t="s">
        <v>32</v>
      </c>
      <c r="B30" s="10">
        <f>5986443098.42/1000000</f>
        <v>5986.4430984199998</v>
      </c>
      <c r="C30" s="6">
        <f>3888662663.61/1000000</f>
        <v>3888.66266361</v>
      </c>
      <c r="D30" s="5">
        <f>381270026.89/1000000</f>
        <v>381.27002689</v>
      </c>
      <c r="E30" s="5">
        <f>344829221.14/1000000</f>
        <v>344.82922113999996</v>
      </c>
      <c r="F30" s="5">
        <f>406322556.75/1000000</f>
        <v>406.32255674999999</v>
      </c>
    </row>
    <row r="31" spans="1:6" ht="38.25" x14ac:dyDescent="0.25">
      <c r="A31" s="9" t="s">
        <v>33</v>
      </c>
      <c r="B31" s="10">
        <f>8031649.05/1000000</f>
        <v>8.0316490500000004</v>
      </c>
      <c r="C31" s="6">
        <f>2823138.02/1000000</f>
        <v>2.82313802</v>
      </c>
      <c r="D31" s="5"/>
      <c r="E31" s="5"/>
      <c r="F31" s="5">
        <f>887697.21/1000000</f>
        <v>0.88769721000000001</v>
      </c>
    </row>
    <row r="32" spans="1:6" ht="25.5" x14ac:dyDescent="0.25">
      <c r="A32" s="9" t="s">
        <v>34</v>
      </c>
      <c r="B32" s="10">
        <f>10931171.67/1000000</f>
        <v>10.931171669999999</v>
      </c>
      <c r="C32" s="6">
        <f>6617807.62/1000000</f>
        <v>6.6178076199999998</v>
      </c>
      <c r="D32" s="5">
        <f>4445977.43/1000000</f>
        <v>4.4459774300000001</v>
      </c>
      <c r="E32" s="5">
        <f>7035161.5/1000000</f>
        <v>7.0351615000000001</v>
      </c>
      <c r="F32" s="5">
        <f>12039504.48/1000000</f>
        <v>12.03950448</v>
      </c>
    </row>
    <row r="33" spans="1:6" ht="38.25" x14ac:dyDescent="0.25">
      <c r="A33" s="9" t="s">
        <v>35</v>
      </c>
      <c r="B33" s="10">
        <f>1087887157.01/1000000</f>
        <v>1087.88715701</v>
      </c>
      <c r="C33" s="6">
        <f>861886275.43/1000000</f>
        <v>861.88627542999996</v>
      </c>
      <c r="D33" s="5">
        <f>257932433.53/1000000</f>
        <v>257.93243353000003</v>
      </c>
      <c r="E33" s="5">
        <f>422937669.63/1000000</f>
        <v>422.93766963000002</v>
      </c>
      <c r="F33" s="5">
        <f>603355338.37/1000000</f>
        <v>603.35533837000003</v>
      </c>
    </row>
    <row r="34" spans="1:6" ht="38.25" x14ac:dyDescent="0.25">
      <c r="A34" s="9" t="s">
        <v>36</v>
      </c>
      <c r="B34" s="10">
        <f>268200447.25/1000000</f>
        <v>268.20044725000002</v>
      </c>
      <c r="C34" s="6">
        <f>154019097.97/1000000</f>
        <v>154.01909796999999</v>
      </c>
      <c r="D34" s="5">
        <f>51204933.83/1000000</f>
        <v>51.204933830000002</v>
      </c>
      <c r="E34" s="5">
        <f>46695896.18/1000000</f>
        <v>46.695896179999998</v>
      </c>
      <c r="F34" s="5">
        <f>70420245.56/1000000</f>
        <v>70.420245559999998</v>
      </c>
    </row>
    <row r="35" spans="1:6" ht="38.25" x14ac:dyDescent="0.25">
      <c r="A35" s="9" t="s">
        <v>37</v>
      </c>
      <c r="B35" s="10">
        <f>364877708.98/1000000</f>
        <v>364.87770898000002</v>
      </c>
      <c r="C35" s="6">
        <f>322026088.21/1000000</f>
        <v>322.02608820999995</v>
      </c>
      <c r="D35" s="5">
        <f>72363881.45/1000000</f>
        <v>72.363881450000008</v>
      </c>
      <c r="E35" s="5">
        <f>81998830.14/1000000</f>
        <v>81.998830139999995</v>
      </c>
      <c r="F35" s="5">
        <f>148124877.25/1000000</f>
        <v>148.12487725</v>
      </c>
    </row>
    <row r="36" spans="1:6" ht="25.5" x14ac:dyDescent="0.25">
      <c r="A36" s="9" t="s">
        <v>38</v>
      </c>
      <c r="B36" s="10">
        <f>381654582.98/1000000</f>
        <v>381.65458298000004</v>
      </c>
      <c r="C36" s="6">
        <f>273687163.33/1000000</f>
        <v>273.68716332999998</v>
      </c>
      <c r="D36" s="5">
        <f>142537927.2/1000000</f>
        <v>142.53792719999998</v>
      </c>
      <c r="E36" s="5">
        <f>166202486.91/1000000</f>
        <v>166.20248691</v>
      </c>
      <c r="F36" s="5">
        <f>443493752.89/1000000</f>
        <v>443.49375289</v>
      </c>
    </row>
    <row r="37" spans="1:6" ht="38.25" x14ac:dyDescent="0.25">
      <c r="A37" s="9" t="s">
        <v>41</v>
      </c>
      <c r="B37" s="10">
        <f>63523159.82/1000000</f>
        <v>63.523159820000004</v>
      </c>
      <c r="C37" s="6">
        <f>36637245.01/1000000</f>
        <v>36.637245010000001</v>
      </c>
      <c r="D37" s="5">
        <f>21190694.46/1000000</f>
        <v>21.19069446</v>
      </c>
      <c r="E37" s="5">
        <f>21211571.03/1000000</f>
        <v>21.211571030000002</v>
      </c>
      <c r="F37" s="5">
        <f>30282505.03/1000000</f>
        <v>30.282505030000003</v>
      </c>
    </row>
    <row r="38" spans="1:6" ht="25.5" x14ac:dyDescent="0.25">
      <c r="A38" s="9" t="s">
        <v>42</v>
      </c>
      <c r="B38" s="10">
        <f>81667982.35/1000000</f>
        <v>81.667982349999988</v>
      </c>
      <c r="C38" s="6">
        <f>47255082.26/1000000</f>
        <v>47.255082259999995</v>
      </c>
      <c r="D38" s="5">
        <f>34363600.46/1000000</f>
        <v>34.363600460000001</v>
      </c>
      <c r="E38" s="5">
        <f>13386570.73/1000000</f>
        <v>13.386570730000001</v>
      </c>
      <c r="F38" s="5">
        <f>34276605.48/1000000</f>
        <v>34.276605479999994</v>
      </c>
    </row>
    <row r="39" spans="1:6" ht="38.25" x14ac:dyDescent="0.25">
      <c r="A39" s="9" t="s">
        <v>43</v>
      </c>
      <c r="B39" s="10">
        <f>46957909.09/1000000</f>
        <v>46.957909090000001</v>
      </c>
      <c r="C39" s="6">
        <f>26991186.03/1000000</f>
        <v>26.991186030000001</v>
      </c>
      <c r="D39" s="5">
        <f>16737290.57/1000000</f>
        <v>16.737290569999999</v>
      </c>
      <c r="E39" s="5">
        <f>24752593/1000000</f>
        <v>24.752593000000001</v>
      </c>
      <c r="F39" s="5">
        <f>29732348.45/1000000</f>
        <v>29.73234845</v>
      </c>
    </row>
    <row r="40" spans="1:6" ht="38.25" x14ac:dyDescent="0.25">
      <c r="A40" s="9" t="s">
        <v>44</v>
      </c>
      <c r="B40" s="10">
        <f>24277851.33/1000000</f>
        <v>24.277851329999997</v>
      </c>
      <c r="C40" s="6">
        <f>18103411.58/1000000</f>
        <v>18.10341158</v>
      </c>
      <c r="D40" s="5">
        <f>15223273.43/1000000</f>
        <v>15.223273429999999</v>
      </c>
      <c r="E40" s="5">
        <f>13673379.9/1000000</f>
        <v>13.6733799</v>
      </c>
      <c r="F40" s="5">
        <f>23697044.47/1000000</f>
        <v>23.697044469999998</v>
      </c>
    </row>
    <row r="41" spans="1:6" ht="25.5" x14ac:dyDescent="0.25">
      <c r="A41" s="9" t="s">
        <v>45</v>
      </c>
      <c r="B41" s="10">
        <f>15662912.85/1000000</f>
        <v>15.66291285</v>
      </c>
      <c r="C41" s="6">
        <f>9868183.76/1000000</f>
        <v>9.8681837599999991</v>
      </c>
      <c r="D41" s="5">
        <f>254942/1000000</f>
        <v>0.254942</v>
      </c>
      <c r="E41" s="5">
        <f>12030161/1000000</f>
        <v>12.030161</v>
      </c>
      <c r="F41" s="5">
        <f>9292175.53/1000000</f>
        <v>9.2921755299999997</v>
      </c>
    </row>
    <row r="42" spans="1:6" ht="38.25" x14ac:dyDescent="0.25">
      <c r="A42" s="9" t="s">
        <v>46</v>
      </c>
      <c r="B42" s="10">
        <f>128622907.34/1000000</f>
        <v>128.62290734000001</v>
      </c>
      <c r="C42" s="6">
        <f>69409032.87/1000000</f>
        <v>69.409032870000004</v>
      </c>
      <c r="D42" s="5">
        <f>51366196.46/1000000</f>
        <v>51.366196459999998</v>
      </c>
      <c r="E42" s="5" t="s">
        <v>95</v>
      </c>
      <c r="F42" s="5">
        <f>199700955.77/1000000</f>
        <v>199.70095577000001</v>
      </c>
    </row>
    <row r="43" spans="1:6" ht="38.25" x14ac:dyDescent="0.25">
      <c r="A43" s="9" t="s">
        <v>47</v>
      </c>
      <c r="B43" s="10">
        <f>45579133.6/1000000</f>
        <v>45.579133599999999</v>
      </c>
      <c r="C43" s="6">
        <f>28598310.79/1000000</f>
        <v>28.598310789999999</v>
      </c>
      <c r="D43" s="5">
        <f>18534687.05/1000000</f>
        <v>18.534687050000002</v>
      </c>
      <c r="E43" s="5">
        <f>29038498.21/1000000</f>
        <v>29.03849821</v>
      </c>
      <c r="F43" s="5">
        <f>12253647.98/1000000</f>
        <v>12.25364798</v>
      </c>
    </row>
    <row r="44" spans="1:6" ht="25.5" x14ac:dyDescent="0.25">
      <c r="A44" s="9" t="s">
        <v>48</v>
      </c>
      <c r="B44" s="10">
        <f>9103869.94/1000000</f>
        <v>9.1038699399999992</v>
      </c>
      <c r="C44" s="6">
        <f>2544996.49/1000000</f>
        <v>2.5449964900000004</v>
      </c>
      <c r="D44" s="5">
        <f>4313322.08/1000000</f>
        <v>4.3133220799999998</v>
      </c>
      <c r="E44" s="5">
        <f>3263733/1000000</f>
        <v>3.2637330000000002</v>
      </c>
      <c r="F44" s="5">
        <f>16826103.32/1000000</f>
        <v>16.826103320000001</v>
      </c>
    </row>
    <row r="45" spans="1:6" ht="25.5" x14ac:dyDescent="0.25">
      <c r="A45" s="9" t="s">
        <v>49</v>
      </c>
      <c r="B45" s="10">
        <f>435704296.99/1000000</f>
        <v>435.70429698999999</v>
      </c>
      <c r="C45" s="6">
        <f>416501749.02/1000000</f>
        <v>416.50174901999998</v>
      </c>
      <c r="D45" s="5">
        <f>93056150.03/1000000</f>
        <v>93.056150029999998</v>
      </c>
      <c r="E45" s="5">
        <f>120157273.33/1000000</f>
        <v>120.15727333</v>
      </c>
      <c r="F45" s="5">
        <f>271514587.23/1000000</f>
        <v>271.51458723000002</v>
      </c>
    </row>
    <row r="46" spans="1:6" ht="25.5" x14ac:dyDescent="0.25">
      <c r="A46" s="9" t="s">
        <v>50</v>
      </c>
      <c r="B46" s="10">
        <f>4246001.5/1000000</f>
        <v>4.2460015000000002</v>
      </c>
      <c r="C46" s="6">
        <f>3234131.05/1000000</f>
        <v>3.2341310499999998</v>
      </c>
      <c r="D46" s="5">
        <f>1806970.47/1000000</f>
        <v>1.80697047</v>
      </c>
      <c r="E46" s="5">
        <f>2292153.98/1000000</f>
        <v>2.2921539800000001</v>
      </c>
      <c r="F46" s="5">
        <f>34360308.32/1000000</f>
        <v>34.360308320000001</v>
      </c>
    </row>
    <row r="47" spans="1:6" ht="25.5" x14ac:dyDescent="0.25">
      <c r="A47" s="9" t="s">
        <v>51</v>
      </c>
      <c r="B47" s="10">
        <f>64054255.69/1000000</f>
        <v>64.054255689999991</v>
      </c>
      <c r="C47" s="6">
        <f>43532781.97/1000000</f>
        <v>43.532781970000002</v>
      </c>
      <c r="D47" s="5">
        <f>10450823.66/1000000</f>
        <v>10.450823659999999</v>
      </c>
      <c r="E47" s="5">
        <f>16502580.44/1000000</f>
        <v>16.502580439999999</v>
      </c>
      <c r="F47" s="5">
        <f>49845144.68/1000000</f>
        <v>49.845144679999997</v>
      </c>
    </row>
    <row r="48" spans="1:6" ht="38.25" x14ac:dyDescent="0.25">
      <c r="A48" s="9" t="s">
        <v>52</v>
      </c>
      <c r="B48" s="10">
        <f>601726049.55/1000000</f>
        <v>601.72604954999997</v>
      </c>
      <c r="C48" s="6">
        <f>479414455.84/1000000</f>
        <v>479.41445583999996</v>
      </c>
      <c r="D48" s="5">
        <f>133089177.46/1000000</f>
        <v>133.08917746</v>
      </c>
      <c r="E48" s="5">
        <f>128325828.86/1000000</f>
        <v>128.32582886</v>
      </c>
      <c r="F48" s="5">
        <f>207737435.41/1000000</f>
        <v>207.73743540999999</v>
      </c>
    </row>
    <row r="49" spans="1:6" ht="25.5" x14ac:dyDescent="0.25">
      <c r="A49" s="9" t="s">
        <v>53</v>
      </c>
      <c r="B49" s="10">
        <f>99352639.5/1000000</f>
        <v>99.352639499999995</v>
      </c>
      <c r="C49" s="6">
        <f>52579057.42/1000000</f>
        <v>52.579057420000005</v>
      </c>
      <c r="D49" s="5">
        <f>21322869.01/1000000</f>
        <v>21.322869010000002</v>
      </c>
      <c r="E49" s="5">
        <f>28481354.57/1000000</f>
        <v>28.481354570000001</v>
      </c>
      <c r="F49" s="5">
        <f>148600607.25/1000000</f>
        <v>148.60060725</v>
      </c>
    </row>
    <row r="50" spans="1:6" ht="38.25" x14ac:dyDescent="0.25">
      <c r="A50" s="9" t="s">
        <v>54</v>
      </c>
      <c r="B50" s="10">
        <f>17921453.31/1000000</f>
        <v>17.92145331</v>
      </c>
      <c r="C50" s="6">
        <f>10637472.73/1000000</f>
        <v>10.637472730000001</v>
      </c>
      <c r="D50" s="5">
        <f>3794417.2/1000000</f>
        <v>3.7944172000000003</v>
      </c>
      <c r="E50" s="5">
        <f>4775045.91/1000000</f>
        <v>4.7750459100000002</v>
      </c>
      <c r="F50" s="5">
        <f>68417981.36/1000000</f>
        <v>68.417981359999999</v>
      </c>
    </row>
    <row r="51" spans="1:6" ht="38.25" x14ac:dyDescent="0.25">
      <c r="A51" s="9" t="s">
        <v>55</v>
      </c>
      <c r="B51" s="10">
        <f>400055555.07/1000000</f>
        <v>400.05555506999997</v>
      </c>
      <c r="C51" s="6">
        <f>298282674.79/1000000</f>
        <v>298.28267479000004</v>
      </c>
      <c r="D51" s="5">
        <f>81618475.28/1000000</f>
        <v>81.618475279999998</v>
      </c>
      <c r="E51" s="5">
        <f>75370852.23/1000000</f>
        <v>75.370852230000011</v>
      </c>
      <c r="F51" s="5">
        <f>516105037.35/1000000</f>
        <v>516.10503734999998</v>
      </c>
    </row>
    <row r="52" spans="1:6" ht="25.5" x14ac:dyDescent="0.25">
      <c r="A52" s="9" t="s">
        <v>56</v>
      </c>
      <c r="B52" s="10">
        <f>17628467/1000000</f>
        <v>17.628467000000001</v>
      </c>
      <c r="C52" s="6">
        <f>12958596.75/1000000</f>
        <v>12.95859675</v>
      </c>
      <c r="D52" s="5">
        <f>6518136.59/1000000</f>
        <v>6.5181365900000001</v>
      </c>
      <c r="E52" s="5">
        <f>9271323/1000000</f>
        <v>9.2713230000000006</v>
      </c>
      <c r="F52" s="5">
        <f>172207729.82/1000000</f>
        <v>172.20772982</v>
      </c>
    </row>
    <row r="53" spans="1:6" ht="25.5" x14ac:dyDescent="0.25">
      <c r="A53" s="9" t="s">
        <v>57</v>
      </c>
      <c r="B53" s="10">
        <f>598292644.33/1000000</f>
        <v>598.29264433000003</v>
      </c>
      <c r="C53" s="6">
        <f>629429334.66/1000000</f>
        <v>629.42933465999999</v>
      </c>
      <c r="D53" s="5">
        <f>201039497.37/1000000</f>
        <v>201.03949736999999</v>
      </c>
      <c r="E53" s="5">
        <f>187325338.07/1000000</f>
        <v>187.32533806999999</v>
      </c>
      <c r="F53" s="5">
        <f>162830543.73/1000000</f>
        <v>162.83054372999999</v>
      </c>
    </row>
    <row r="54" spans="1:6" ht="38.25" x14ac:dyDescent="0.25">
      <c r="A54" s="9" t="s">
        <v>58</v>
      </c>
      <c r="B54" s="10">
        <f>228737025.5/1000000</f>
        <v>228.73702549999999</v>
      </c>
      <c r="C54" s="6">
        <f>210082836.02/1000000</f>
        <v>210.08283602</v>
      </c>
      <c r="D54" s="5">
        <f>62747586.05/1000000</f>
        <v>62.747586049999995</v>
      </c>
      <c r="E54" s="5">
        <f>67542324.92/1000000</f>
        <v>67.542324919999999</v>
      </c>
      <c r="F54" s="5">
        <f>117786501.6/1000000</f>
        <v>117.78650159999999</v>
      </c>
    </row>
    <row r="55" spans="1:6" ht="25.5" x14ac:dyDescent="0.25">
      <c r="A55" s="9" t="s">
        <v>59</v>
      </c>
      <c r="B55" s="10">
        <f>91115687.84/1000000</f>
        <v>91.115687840000007</v>
      </c>
      <c r="C55" s="6">
        <f>49575062.11/1000000</f>
        <v>49.575062109999998</v>
      </c>
      <c r="D55" s="5">
        <f>24652054.83/1000000</f>
        <v>24.652054829999997</v>
      </c>
      <c r="E55" s="5">
        <f>33572569.51/1000000</f>
        <v>33.572569510000001</v>
      </c>
      <c r="F55" s="5">
        <f>131533535.04/1000000</f>
        <v>131.53353504</v>
      </c>
    </row>
    <row r="56" spans="1:6" ht="25.5" x14ac:dyDescent="0.25">
      <c r="A56" s="9" t="s">
        <v>60</v>
      </c>
      <c r="B56" s="10">
        <f>288766935.66/1000000</f>
        <v>288.76693566</v>
      </c>
      <c r="C56" s="6">
        <f>145544301.89/1000000</f>
        <v>145.54430188999999</v>
      </c>
      <c r="D56" s="5">
        <f>69882259.51/1000000</f>
        <v>69.882259510000011</v>
      </c>
      <c r="E56" s="5">
        <f>90445277.35/1000000</f>
        <v>90.445277349999998</v>
      </c>
      <c r="F56" s="5">
        <f>365083418.21/1000000</f>
        <v>365.08341820999999</v>
      </c>
    </row>
    <row r="57" spans="1:6" ht="25.5" x14ac:dyDescent="0.25">
      <c r="A57" s="9" t="s">
        <v>61</v>
      </c>
      <c r="B57" s="10">
        <f>126245618.77/1000000</f>
        <v>126.24561876999999</v>
      </c>
      <c r="C57" s="6">
        <f>113494839.17/1000000</f>
        <v>113.49483917000001</v>
      </c>
      <c r="D57" s="5">
        <f>38881721.72/1000000</f>
        <v>38.881721720000002</v>
      </c>
      <c r="E57" s="5">
        <f>54730449.2/1000000</f>
        <v>54.730449200000002</v>
      </c>
      <c r="F57" s="5">
        <f>229214367.96/1000000</f>
        <v>229.21436796</v>
      </c>
    </row>
    <row r="58" spans="1:6" ht="38.25" x14ac:dyDescent="0.25">
      <c r="A58" s="9" t="s">
        <v>62</v>
      </c>
      <c r="B58" s="10">
        <f>84937341.82/1000000</f>
        <v>84.937341819999986</v>
      </c>
      <c r="C58" s="6">
        <f>61695123.63/1000000</f>
        <v>61.695123630000005</v>
      </c>
      <c r="D58" s="5">
        <f>27710151.99/1000000</f>
        <v>27.71015199</v>
      </c>
      <c r="E58" s="5">
        <f>37554757.2/1000000</f>
        <v>37.554757200000005</v>
      </c>
      <c r="F58" s="5">
        <f>74958143.29/1000000</f>
        <v>74.95814329000001</v>
      </c>
    </row>
    <row r="59" spans="1:6" ht="25.5" x14ac:dyDescent="0.25">
      <c r="A59" s="9" t="s">
        <v>63</v>
      </c>
      <c r="B59" s="10">
        <f>31372671.16/1000000</f>
        <v>31.372671159999999</v>
      </c>
      <c r="C59" s="6">
        <f>18554987.87/1000000</f>
        <v>18.554987870000001</v>
      </c>
      <c r="D59" s="5">
        <f>11294017.16/1000000</f>
        <v>11.294017160000001</v>
      </c>
      <c r="E59" s="5">
        <f>13968204/1000000</f>
        <v>13.968204</v>
      </c>
      <c r="F59" s="5">
        <f>125652626.74/1000000</f>
        <v>125.65262673999999</v>
      </c>
    </row>
    <row r="60" spans="1:6" ht="38.25" x14ac:dyDescent="0.25">
      <c r="A60" s="9" t="s">
        <v>64</v>
      </c>
      <c r="B60" s="10">
        <f>911519354.35/1000000</f>
        <v>911.51935435000007</v>
      </c>
      <c r="C60" s="6">
        <f>735546691.83/1000000</f>
        <v>735.54669182999999</v>
      </c>
      <c r="D60" s="5">
        <f>264329474.88/1000000</f>
        <v>264.32947488000002</v>
      </c>
      <c r="E60" s="5">
        <f>243140441.66/1000000</f>
        <v>243.14044165999999</v>
      </c>
      <c r="F60" s="5">
        <f>365889884.03/1000000</f>
        <v>365.88988402999996</v>
      </c>
    </row>
    <row r="61" spans="1:6" ht="25.5" x14ac:dyDescent="0.25">
      <c r="A61" s="9" t="s">
        <v>65</v>
      </c>
      <c r="B61" s="10">
        <f>463849943.63/1000000</f>
        <v>463.84994362999998</v>
      </c>
      <c r="C61" s="6">
        <f>272485245.05/1000000</f>
        <v>272.48524505</v>
      </c>
      <c r="D61" s="5">
        <f>84240183.8/1000000</f>
        <v>84.240183799999997</v>
      </c>
      <c r="E61" s="5">
        <f>71407419.16/1000000</f>
        <v>71.407419160000003</v>
      </c>
      <c r="F61" s="5">
        <f>97370512.12/1000000</f>
        <v>97.370512120000001</v>
      </c>
    </row>
    <row r="62" spans="1:6" ht="38.25" x14ac:dyDescent="0.25">
      <c r="A62" s="9" t="s">
        <v>66</v>
      </c>
      <c r="B62" s="10">
        <f>331200987.19/1000000</f>
        <v>331.20098718999998</v>
      </c>
      <c r="C62" s="6">
        <f>337330999.9/1000000</f>
        <v>337.33099989999999</v>
      </c>
      <c r="D62" s="5">
        <f>112111940.85/1000000</f>
        <v>112.11194085</v>
      </c>
      <c r="E62" s="5">
        <f>97522302.97/1000000</f>
        <v>97.522302969999998</v>
      </c>
      <c r="F62" s="5">
        <f>397083619.61/1000000</f>
        <v>397.08361961000003</v>
      </c>
    </row>
    <row r="63" spans="1:6" ht="51" x14ac:dyDescent="0.25">
      <c r="A63" s="9" t="s">
        <v>67</v>
      </c>
      <c r="B63" s="10">
        <f>1049283097.48/1000000</f>
        <v>1049.2830974799999</v>
      </c>
      <c r="C63" s="6">
        <f>767421964.96/1000000</f>
        <v>767.42196496000008</v>
      </c>
      <c r="D63" s="5">
        <f>102914503.2/1000000</f>
        <v>102.9145032</v>
      </c>
      <c r="E63" s="5">
        <f>62674754.79/1000000</f>
        <v>62.674754790000001</v>
      </c>
      <c r="F63" s="5">
        <f>202876665.52/1000000</f>
        <v>202.87666552000002</v>
      </c>
    </row>
    <row r="64" spans="1:6" ht="51" x14ac:dyDescent="0.25">
      <c r="A64" s="9" t="s">
        <v>68</v>
      </c>
      <c r="B64" s="10">
        <f>691167841.07/1000000</f>
        <v>691.16784107000001</v>
      </c>
      <c r="C64" s="6">
        <f>460301868.97/1000000</f>
        <v>460.30186897000004</v>
      </c>
      <c r="D64" s="5">
        <f>23192755.19/1000000</f>
        <v>23.19275519</v>
      </c>
      <c r="E64" s="5">
        <f>30065266.46/1000000</f>
        <v>30.06526646</v>
      </c>
      <c r="F64" s="5">
        <f>97048055.05/1000000</f>
        <v>97.048055050000002</v>
      </c>
    </row>
    <row r="65" spans="1:6" ht="25.5" x14ac:dyDescent="0.25">
      <c r="A65" s="9" t="s">
        <v>69</v>
      </c>
      <c r="B65" s="10">
        <f>34557522.98/1000000</f>
        <v>34.557522979999995</v>
      </c>
      <c r="C65" s="6">
        <f>8520638.64/1000000</f>
        <v>8.5206386400000014</v>
      </c>
      <c r="D65" s="5">
        <f>23793288.2/1000000</f>
        <v>23.793288199999999</v>
      </c>
      <c r="E65" s="5">
        <f>38890903.16/1000000</f>
        <v>38.890903159999993</v>
      </c>
      <c r="F65" s="5">
        <f>112457323.73/1000000</f>
        <v>112.45732373</v>
      </c>
    </row>
    <row r="66" spans="1:6" ht="25.5" x14ac:dyDescent="0.25">
      <c r="A66" s="9" t="s">
        <v>70</v>
      </c>
      <c r="B66" s="10">
        <f>3496680.95/1000000</f>
        <v>3.49668095</v>
      </c>
      <c r="C66" s="6">
        <f>3305847.7/1000000</f>
        <v>3.3058477000000002</v>
      </c>
      <c r="D66" s="5">
        <f>1934645.59/1000000</f>
        <v>1.9346455900000001</v>
      </c>
      <c r="E66" s="5">
        <f>3633083.55/1000000</f>
        <v>3.6330835499999998</v>
      </c>
      <c r="F66" s="5">
        <f>7935490.02/1000000</f>
        <v>7.9354900199999996</v>
      </c>
    </row>
    <row r="67" spans="1:6" ht="25.5" x14ac:dyDescent="0.25">
      <c r="A67" s="9" t="s">
        <v>71</v>
      </c>
      <c r="B67" s="10">
        <f>84896840.36/1000000</f>
        <v>84.896840359999999</v>
      </c>
      <c r="C67" s="6">
        <f>49159367.94/1000000</f>
        <v>49.159367939999996</v>
      </c>
      <c r="D67" s="5">
        <f>36431983.85/1000000</f>
        <v>36.431983850000002</v>
      </c>
      <c r="E67" s="5">
        <f>46212085.99/1000000</f>
        <v>46.212085990000006</v>
      </c>
      <c r="F67" s="5">
        <f>199578977.42/1000000</f>
        <v>199.57897742</v>
      </c>
    </row>
    <row r="68" spans="1:6" ht="38.25" x14ac:dyDescent="0.25">
      <c r="A68" s="9" t="s">
        <v>72</v>
      </c>
      <c r="B68" s="10">
        <f>373802539.58/1000000</f>
        <v>373.80253957999997</v>
      </c>
      <c r="C68" s="6">
        <f>221886545.26/1000000</f>
        <v>221.88654525999999</v>
      </c>
      <c r="D68" s="5">
        <f>118834306.66/1000000</f>
        <v>118.83430666</v>
      </c>
      <c r="E68" s="5">
        <f>171165849.94/1000000</f>
        <v>171.16584993999999</v>
      </c>
      <c r="F68" s="5">
        <f>280411009.07/1000000</f>
        <v>280.41100906999998</v>
      </c>
    </row>
    <row r="69" spans="1:6" ht="25.5" x14ac:dyDescent="0.25">
      <c r="A69" s="9" t="s">
        <v>73</v>
      </c>
      <c r="B69" s="10">
        <f>712289635.26/1000000</f>
        <v>712.28963525999995</v>
      </c>
      <c r="C69" s="6">
        <f>348330948.37/1000000</f>
        <v>348.33094836999999</v>
      </c>
      <c r="D69" s="5">
        <f>137902758.04/1000000</f>
        <v>137.90275803999998</v>
      </c>
      <c r="E69" s="5">
        <f>187542954.22/1000000</f>
        <v>187.54295422000001</v>
      </c>
      <c r="F69" s="5">
        <f>202579776.76/1000000</f>
        <v>202.57977675999999</v>
      </c>
    </row>
    <row r="70" spans="1:6" ht="38.25" x14ac:dyDescent="0.25">
      <c r="A70" s="9" t="s">
        <v>74</v>
      </c>
      <c r="B70" s="10">
        <f>122836868.57/1000000</f>
        <v>122.83686856999999</v>
      </c>
      <c r="C70" s="6">
        <f>102293946.19/1000000</f>
        <v>102.29394619</v>
      </c>
      <c r="D70" s="5">
        <f>66331294.45/1000000</f>
        <v>66.331294450000001</v>
      </c>
      <c r="E70" s="5">
        <f>126206331.98/1000000</f>
        <v>126.20633198</v>
      </c>
      <c r="F70" s="5">
        <f>159321017.67/1000000</f>
        <v>159.32101766999997</v>
      </c>
    </row>
    <row r="71" spans="1:6" ht="38.25" x14ac:dyDescent="0.25">
      <c r="A71" s="9" t="s">
        <v>75</v>
      </c>
      <c r="B71" s="10">
        <f>611288636.83/1000000</f>
        <v>611.28863683000009</v>
      </c>
      <c r="C71" s="6">
        <f>385706845.26/1000000</f>
        <v>385.70684525999997</v>
      </c>
      <c r="D71" s="5">
        <f>190680350.95/1000000</f>
        <v>190.68035094999999</v>
      </c>
      <c r="E71" s="5">
        <f>239904249.34/1000000</f>
        <v>239.90424934000001</v>
      </c>
      <c r="F71" s="5">
        <f>177645449.65/1000000</f>
        <v>177.64544965000002</v>
      </c>
    </row>
    <row r="72" spans="1:6" ht="25.5" x14ac:dyDescent="0.25">
      <c r="A72" s="9" t="s">
        <v>76</v>
      </c>
      <c r="B72" s="10">
        <f>86206201.1/1000000</f>
        <v>86.206201099999987</v>
      </c>
      <c r="C72" s="6">
        <f>82910174.54/1000000</f>
        <v>82.91017454</v>
      </c>
      <c r="D72" s="5">
        <f>38888778.81/1000000</f>
        <v>38.888778810000005</v>
      </c>
      <c r="E72" s="5">
        <f>46072237.55/1000000</f>
        <v>46.072237549999997</v>
      </c>
      <c r="F72" s="5">
        <f>201764512.72/1000000</f>
        <v>201.76451272</v>
      </c>
    </row>
    <row r="73" spans="1:6" ht="25.5" x14ac:dyDescent="0.25">
      <c r="A73" s="9" t="s">
        <v>77</v>
      </c>
      <c r="B73" s="10">
        <f>91892882.8/1000000</f>
        <v>91.892882799999995</v>
      </c>
      <c r="C73" s="6">
        <f>64452899.64/1000000</f>
        <v>64.452899639999998</v>
      </c>
      <c r="D73" s="5">
        <f>40220537.01/1000000</f>
        <v>40.220537010000001</v>
      </c>
      <c r="E73" s="5">
        <f>58281879.14/1000000</f>
        <v>58.281879140000001</v>
      </c>
      <c r="F73" s="5">
        <f>68354238.67/1000000</f>
        <v>68.354238670000001</v>
      </c>
    </row>
    <row r="74" spans="1:6" ht="25.5" x14ac:dyDescent="0.25">
      <c r="A74" s="9" t="s">
        <v>78</v>
      </c>
      <c r="B74" s="10">
        <f>14233235.48/1000000</f>
        <v>14.233235480000001</v>
      </c>
      <c r="C74" s="6">
        <f>12363402.09/1000000</f>
        <v>12.363402089999999</v>
      </c>
      <c r="D74" s="5">
        <f>7213859.88/1000000</f>
        <v>7.2138598800000002</v>
      </c>
      <c r="E74" s="5">
        <f>11505547.07/1000000</f>
        <v>11.50554707</v>
      </c>
      <c r="F74" s="5">
        <f>39210937.38/1000000</f>
        <v>39.210937380000004</v>
      </c>
    </row>
    <row r="75" spans="1:6" ht="25.5" x14ac:dyDescent="0.25">
      <c r="A75" s="9" t="s">
        <v>79</v>
      </c>
      <c r="B75" s="10">
        <f>27850242.39/1000000</f>
        <v>27.850242390000002</v>
      </c>
      <c r="C75" s="6">
        <f>13163563.11/1000000</f>
        <v>13.16356311</v>
      </c>
      <c r="D75" s="5">
        <f>10932493.7/1000000</f>
        <v>10.932493699999998</v>
      </c>
      <c r="E75" s="5">
        <f>15947446.48/1000000</f>
        <v>15.94744648</v>
      </c>
      <c r="F75" s="5">
        <f>121711956.75/1000000</f>
        <v>121.71195675</v>
      </c>
    </row>
    <row r="76" spans="1:6" ht="38.25" x14ac:dyDescent="0.25">
      <c r="A76" s="9" t="s">
        <v>80</v>
      </c>
      <c r="B76" s="10">
        <f>118459621.83/1000000</f>
        <v>118.45962183</v>
      </c>
      <c r="C76" s="6">
        <f>40667423.39/1000000</f>
        <v>40.667423390000003</v>
      </c>
      <c r="D76" s="5">
        <f>27012666.59/1000000</f>
        <v>27.012666589999998</v>
      </c>
      <c r="E76" s="5">
        <f>44357514.53/1000000</f>
        <v>44.357514530000003</v>
      </c>
      <c r="F76" s="5">
        <f>147835737.06/1000000</f>
        <v>147.83573706000001</v>
      </c>
    </row>
    <row r="77" spans="1:6" ht="25.5" x14ac:dyDescent="0.25">
      <c r="A77" s="9" t="s">
        <v>81</v>
      </c>
      <c r="B77" s="10">
        <f>330939587.42/1000000</f>
        <v>330.93958742000001</v>
      </c>
      <c r="C77" s="6">
        <f>259159843.07/1000000</f>
        <v>259.15984306999997</v>
      </c>
      <c r="D77" s="5">
        <f>56778786.08/1000000</f>
        <v>56.778786079999996</v>
      </c>
      <c r="E77" s="5">
        <f>100768153.74/1000000</f>
        <v>100.76815373999999</v>
      </c>
      <c r="F77" s="5">
        <f>139670853.67/1000000</f>
        <v>139.67085366999999</v>
      </c>
    </row>
    <row r="78" spans="1:6" ht="38.25" x14ac:dyDescent="0.25">
      <c r="A78" s="9" t="s">
        <v>82</v>
      </c>
      <c r="B78" s="10">
        <f>210883049.51/1000000</f>
        <v>210.88304950999998</v>
      </c>
      <c r="C78" s="6">
        <f>176717213.03/1000000</f>
        <v>176.71721303000001</v>
      </c>
      <c r="D78" s="5">
        <f>93544124.07/1000000</f>
        <v>93.544124069999995</v>
      </c>
      <c r="E78" s="5">
        <f>140408236.84/1000000</f>
        <v>140.40823684</v>
      </c>
      <c r="F78" s="5">
        <f>301064920.95/1000000</f>
        <v>301.06492094999999</v>
      </c>
    </row>
    <row r="79" spans="1:6" ht="38.25" x14ac:dyDescent="0.25">
      <c r="A79" s="9" t="s">
        <v>83</v>
      </c>
      <c r="B79" s="10">
        <f>276721326.27/1000000</f>
        <v>276.72132626999996</v>
      </c>
      <c r="C79" s="6">
        <f>228523506.63/1000000</f>
        <v>228.52350662999999</v>
      </c>
      <c r="D79" s="5">
        <f>76557995.25/1000000</f>
        <v>76.557995250000005</v>
      </c>
      <c r="E79" s="5">
        <f>131969514.65/1000000</f>
        <v>131.96951465000001</v>
      </c>
      <c r="F79" s="5">
        <f>185046667.11/1000000</f>
        <v>185.04666711000002</v>
      </c>
    </row>
    <row r="80" spans="1:6" ht="25.5" x14ac:dyDescent="0.25">
      <c r="A80" s="9" t="s">
        <v>84</v>
      </c>
      <c r="B80" s="10">
        <f>60599201.56/1000000</f>
        <v>60.599201560000004</v>
      </c>
      <c r="C80" s="6">
        <f>59832490.16/1000000</f>
        <v>59.832490159999999</v>
      </c>
      <c r="D80" s="5">
        <f>15407022.53/1000000</f>
        <v>15.407022529999999</v>
      </c>
      <c r="E80" s="5">
        <f>24841423.25/1000000</f>
        <v>24.841423249999998</v>
      </c>
      <c r="F80" s="5">
        <f>158748046.66/1000000</f>
        <v>158.74804666</v>
      </c>
    </row>
    <row r="81" spans="1:6" ht="25.5" x14ac:dyDescent="0.25">
      <c r="A81" s="9" t="s">
        <v>85</v>
      </c>
      <c r="B81" s="10">
        <f>199926174.23/1000000</f>
        <v>199.92617422999999</v>
      </c>
      <c r="C81" s="6">
        <f>89608127.74/1000000</f>
        <v>89.60812774</v>
      </c>
      <c r="D81" s="5">
        <f>21748760.43/1000000</f>
        <v>21.748760430000001</v>
      </c>
      <c r="E81" s="5">
        <f>26117241.7/1000000</f>
        <v>26.117241700000001</v>
      </c>
      <c r="F81" s="5">
        <f>116287236.23/1000000</f>
        <v>116.28723623</v>
      </c>
    </row>
    <row r="82" spans="1:6" ht="38.25" x14ac:dyDescent="0.25">
      <c r="A82" s="9" t="s">
        <v>86</v>
      </c>
      <c r="B82" s="10">
        <f>167177593.08/1000000</f>
        <v>167.17759308000001</v>
      </c>
      <c r="C82" s="6">
        <f>121457713.03/1000000</f>
        <v>121.45771303000001</v>
      </c>
      <c r="D82" s="5">
        <f>6174997.57/1000000</f>
        <v>6.1749975700000004</v>
      </c>
      <c r="E82" s="5">
        <f>13764874.15/1000000</f>
        <v>13.764874150000001</v>
      </c>
      <c r="F82" s="5">
        <f>54431004.23/1000000</f>
        <v>54.431004229999999</v>
      </c>
    </row>
    <row r="83" spans="1:6" ht="25.5" x14ac:dyDescent="0.25">
      <c r="A83" s="9" t="s">
        <v>87</v>
      </c>
      <c r="B83" s="10">
        <f>199656233.78/1000000</f>
        <v>199.65623378000001</v>
      </c>
      <c r="C83" s="6">
        <f>120407412.88/1000000</f>
        <v>120.40741288</v>
      </c>
      <c r="D83" s="5">
        <f>52958774.58/1000000</f>
        <v>52.958774579999996</v>
      </c>
      <c r="E83" s="5">
        <f>74502825.41/1000000</f>
        <v>74.50282541</v>
      </c>
      <c r="F83" s="5">
        <f>107569678.87/1000000</f>
        <v>107.56967887</v>
      </c>
    </row>
    <row r="84" spans="1:6" ht="38.25" x14ac:dyDescent="0.25">
      <c r="A84" s="9" t="s">
        <v>88</v>
      </c>
      <c r="B84" s="10">
        <f>9983373.3/1000000</f>
        <v>9.9833733000000002</v>
      </c>
      <c r="C84" s="6">
        <f>6586703.6/1000000</f>
        <v>6.5867035999999999</v>
      </c>
      <c r="D84" s="5">
        <f>2612231/1000000</f>
        <v>2.612231</v>
      </c>
      <c r="E84" s="5">
        <f>3668142.74/1000000</f>
        <v>3.6681427400000004</v>
      </c>
      <c r="F84" s="5">
        <f>15252755.66/1000000</f>
        <v>15.25275566</v>
      </c>
    </row>
    <row r="85" spans="1:6" ht="38.25" x14ac:dyDescent="0.25">
      <c r="A85" s="9" t="s">
        <v>89</v>
      </c>
      <c r="B85" s="10">
        <f>26812036/1000000</f>
        <v>26.812035999999999</v>
      </c>
      <c r="C85" s="6">
        <f>22444565/1000000</f>
        <v>22.444565000000001</v>
      </c>
      <c r="D85" s="5">
        <f>394834/1000000</f>
        <v>0.39483400000000002</v>
      </c>
      <c r="E85" s="5">
        <f>1053700.16/1000000</f>
        <v>1.05370016</v>
      </c>
      <c r="F85" s="5">
        <f>4003654.13/1000000</f>
        <v>4.0036541300000001</v>
      </c>
    </row>
    <row r="86" spans="1:6" ht="25.5" x14ac:dyDescent="0.25">
      <c r="A86" s="9" t="s">
        <v>39</v>
      </c>
      <c r="B86" s="10">
        <f>39583667.67/1000000</f>
        <v>39.583667670000004</v>
      </c>
      <c r="C86" s="6">
        <f>28375621.76/1000000</f>
        <v>28.375621760000001</v>
      </c>
      <c r="D86" s="5"/>
      <c r="E86" s="4"/>
      <c r="F86" s="4"/>
    </row>
    <row r="87" spans="1:6" ht="25.5" x14ac:dyDescent="0.25">
      <c r="A87" s="9" t="s">
        <v>40</v>
      </c>
      <c r="B87" s="10">
        <f>263275079.35/1000000</f>
        <v>263.27507935</v>
      </c>
      <c r="C87" s="6">
        <f>114645159.04/1000000</f>
        <v>114.64515904000001</v>
      </c>
      <c r="D87" s="5">
        <f>375657.34/1000000</f>
        <v>0.37565734000000001</v>
      </c>
      <c r="E87" s="4"/>
      <c r="F87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Stadnik</dc:creator>
  <cp:lastModifiedBy>Stadnik</cp:lastModifiedBy>
  <dcterms:created xsi:type="dcterms:W3CDTF">2017-10-21T12:09:13Z</dcterms:created>
  <dcterms:modified xsi:type="dcterms:W3CDTF">2017-10-21T20:21:52Z</dcterms:modified>
</cp:coreProperties>
</file>